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ivotTables/pivotTable1.xml" ContentType="application/vnd.openxmlformats-officedocument.spreadsheetml.pivotTable+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queryTables/queryTable1.xml" ContentType="application/vnd.openxmlformats-officedocument.spreadsheetml.queryTable+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hidePivotFieldList="1"/>
  <mc:AlternateContent xmlns:mc="http://schemas.openxmlformats.org/markup-compatibility/2006">
    <mc:Choice Requires="x15">
      <x15ac:absPath xmlns:x15ac="http://schemas.microsoft.com/office/spreadsheetml/2010/11/ac" url="D:\Users\NewbyA\Objective\Objects\"/>
    </mc:Choice>
  </mc:AlternateContent>
  <xr:revisionPtr revIDLastSave="0" documentId="13_ncr:1_{63721CEF-44ED-4EAB-B111-4A885C8EA6E6}" xr6:coauthVersionLast="47" xr6:coauthVersionMax="47" xr10:uidLastSave="{00000000-0000-0000-0000-000000000000}"/>
  <workbookProtection lockStructure="1"/>
  <bookViews>
    <workbookView xWindow="-120" yWindow="-120" windowWidth="29040" windowHeight="15840" tabRatio="704" firstSheet="1" activeTab="1" xr2:uid="{00000000-000D-0000-FFFF-FFFF00000000}"/>
  </bookViews>
  <sheets>
    <sheet name="PROCESS" sheetId="53041" state="hidden" r:id="rId1"/>
    <sheet name="FrontPage" sheetId="53036" r:id="rId2"/>
    <sheet name="BR2" sheetId="3" r:id="rId3"/>
    <sheet name="Survey Response Burden" sheetId="53037" r:id="rId4"/>
    <sheet name="Comments" sheetId="53038" r:id="rId5"/>
    <sheet name="Transfer" sheetId="53029" state="hidden" r:id="rId6"/>
    <sheet name="Details" sheetId="6" state="hidden" r:id="rId7"/>
    <sheet name="Text" sheetId="53035" state="hidden" r:id="rId8"/>
    <sheet name="Translate" sheetId="53033" state="hidden" r:id="rId9"/>
    <sheet name="ValData" sheetId="53039" state="hidden" r:id="rId10"/>
  </sheets>
  <definedNames>
    <definedName name="_xlnm._FilterDatabase" localSheetId="5" hidden="1">Transfer!$M$2:$R$33</definedName>
    <definedName name="_Order1" hidden="1">255</definedName>
    <definedName name="_Order2" hidden="1">255</definedName>
    <definedName name="_tab1">Transfer!$B$2:$G$33</definedName>
    <definedName name="_UA2">#REF!</definedName>
    <definedName name="Addresses" localSheetId="0">#REF!</definedName>
    <definedName name="Addresses">Details!$B$8:$M$11</definedName>
    <definedName name="Authority" localSheetId="0">#REF!</definedName>
    <definedName name="Authority">Details!$B$50:$F$55</definedName>
    <definedName name="BR">#REF!</definedName>
    <definedName name="Can">[0]!Can</definedName>
    <definedName name="ClassO">#REF!</definedName>
    <definedName name="component">#REF!</definedName>
    <definedName name="Data" localSheetId="0">#REF!</definedName>
    <definedName name="Data">Details!$B$21:$O$24</definedName>
    <definedName name="DiscountDwellings">#REF!</definedName>
    <definedName name="IBA">#REF!</definedName>
    <definedName name="Letter" localSheetId="0">#REF!</definedName>
    <definedName name="letter">Transfer!$J$2:$K$101</definedName>
    <definedName name="LineData" localSheetId="0">#REF!</definedName>
    <definedName name="LineData">'BR2'!$C$17:$AB$37</definedName>
    <definedName name="PandPUpliftd">#REF!</definedName>
    <definedName name="Percent">#REF!</definedName>
    <definedName name="_xlnm.Print_Area" localSheetId="2">'BR2'!$A$1:$I$49</definedName>
    <definedName name="_xlnm.Print_Area" localSheetId="4">Comments!$B$2:$K$41</definedName>
    <definedName name="_xlnm.Print_Area" localSheetId="1">FrontPage!$B$2:$O$55</definedName>
    <definedName name="_xlnm.Print_Area" localSheetId="3">'Survey Response Burden'!$B$2:$M$21</definedName>
    <definedName name="Provorfin">#REF!</definedName>
    <definedName name="Query_from_LocalGovernmentFinance" localSheetId="9" hidden="1">ValData!$AE$3:$AJ$67</definedName>
    <definedName name="Services">#REF!</definedName>
    <definedName name="Taxbase">Details!$L$40:$N$62</definedName>
    <definedName name="TaxBasePivot">#REF!</definedName>
    <definedName name="UA">#REF!</definedName>
    <definedName name="UAList">Details!$B$29:$O$32</definedName>
    <definedName name="UANumber" localSheetId="0">#REF!</definedName>
    <definedName name="UANumber">Details!$B$2</definedName>
    <definedName name="ValYOY">ValData!$B$3:$Q$19</definedName>
    <definedName name="vtab">Transfer!$A$2:$G$33</definedName>
    <definedName name="Year" localSheetId="0">#REF!</definedName>
    <definedName name="Year">Details!$J$2</definedName>
    <definedName name="YearLess1">#REF!</definedName>
  </definedNames>
  <calcPr calcId="191029"/>
  <pivotCaches>
    <pivotCache cacheId="0" r:id="rId11"/>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42" i="6" l="1"/>
  <c r="AF41" i="6"/>
  <c r="AF42" i="6"/>
  <c r="AF43" i="6"/>
  <c r="AF44" i="6"/>
  <c r="AF45" i="6"/>
  <c r="AF46" i="6"/>
  <c r="AF47" i="6"/>
  <c r="AF48" i="6"/>
  <c r="AF49" i="6"/>
  <c r="AF50" i="6"/>
  <c r="AF51" i="6"/>
  <c r="AF52" i="6"/>
  <c r="AF53" i="6"/>
  <c r="AF54" i="6"/>
  <c r="AF55" i="6"/>
  <c r="AF56" i="6"/>
  <c r="AF57" i="6"/>
  <c r="AF58" i="6"/>
  <c r="AF59" i="6"/>
  <c r="AF60" i="6"/>
  <c r="AF61" i="6"/>
  <c r="AF62" i="6"/>
  <c r="AF40" i="6"/>
  <c r="H91" i="6" l="1"/>
  <c r="I91" i="6"/>
  <c r="H92" i="6"/>
  <c r="I92" i="6"/>
  <c r="H93" i="6"/>
  <c r="I93" i="6"/>
  <c r="H94" i="6"/>
  <c r="I94" i="6"/>
  <c r="H95" i="6"/>
  <c r="I95" i="6"/>
  <c r="G95" i="6"/>
  <c r="F95" i="6"/>
  <c r="E95" i="6"/>
  <c r="D95" i="6"/>
  <c r="G94" i="6"/>
  <c r="F94" i="6"/>
  <c r="E94" i="6"/>
  <c r="D94" i="6"/>
  <c r="G93" i="6"/>
  <c r="F93" i="6"/>
  <c r="E93" i="6"/>
  <c r="D93" i="6"/>
  <c r="G92" i="6"/>
  <c r="F92" i="6"/>
  <c r="E92" i="6"/>
  <c r="D92" i="6"/>
  <c r="G91" i="6"/>
  <c r="F91" i="6"/>
  <c r="E91" i="6"/>
  <c r="D91" i="6"/>
  <c r="D77" i="6"/>
  <c r="E77" i="6"/>
  <c r="F77" i="6"/>
  <c r="G77" i="6"/>
  <c r="D78" i="6"/>
  <c r="E78" i="6"/>
  <c r="F78" i="6"/>
  <c r="G78" i="6"/>
  <c r="D79" i="6"/>
  <c r="E79" i="6"/>
  <c r="F79" i="6"/>
  <c r="G79" i="6"/>
  <c r="D80" i="6"/>
  <c r="E80" i="6"/>
  <c r="F80" i="6"/>
  <c r="G80" i="6"/>
  <c r="E76" i="6"/>
  <c r="F76" i="6"/>
  <c r="G76" i="6"/>
  <c r="D76" i="6"/>
  <c r="AD4" i="53039" l="1"/>
  <c r="AD5" i="53039"/>
  <c r="AD6" i="53039"/>
  <c r="AD7" i="53039"/>
  <c r="AD8" i="53039"/>
  <c r="AD9" i="53039"/>
  <c r="AD10" i="53039"/>
  <c r="AD11" i="53039"/>
  <c r="AD12" i="53039"/>
  <c r="AD13" i="53039"/>
  <c r="AD14" i="53039"/>
  <c r="AD15" i="53039"/>
  <c r="AD16" i="53039"/>
  <c r="AD17" i="53039"/>
  <c r="AD18" i="53039"/>
  <c r="AD19" i="53039"/>
  <c r="AD20" i="53039"/>
  <c r="AD21" i="53039"/>
  <c r="AD22" i="53039"/>
  <c r="AD23" i="53039"/>
  <c r="AD24" i="53039"/>
  <c r="AD25" i="53039"/>
  <c r="AD26" i="53039"/>
  <c r="AD27" i="53039"/>
  <c r="AD28" i="53039"/>
  <c r="AD29" i="53039"/>
  <c r="AD30" i="53039"/>
  <c r="AD31" i="53039"/>
  <c r="AD32" i="53039"/>
  <c r="AD33" i="53039"/>
  <c r="AD34" i="53039"/>
  <c r="AD35" i="53039"/>
  <c r="AD36" i="53039"/>
  <c r="AD37" i="53039"/>
  <c r="AD38" i="53039"/>
  <c r="AD39" i="53039"/>
  <c r="AD40" i="53039"/>
  <c r="AD41" i="53039"/>
  <c r="AD42" i="53039"/>
  <c r="AD43" i="53039"/>
  <c r="AD44" i="53039"/>
  <c r="AD45" i="53039"/>
  <c r="AD46" i="53039"/>
  <c r="AD47" i="53039"/>
  <c r="AD48" i="53039"/>
  <c r="AD49" i="53039"/>
  <c r="AD50" i="53039"/>
  <c r="AD51" i="53039"/>
  <c r="AD52" i="53039"/>
  <c r="AD53" i="53039"/>
  <c r="AD54" i="53039"/>
  <c r="AD55" i="53039"/>
  <c r="AD56" i="53039"/>
  <c r="AD57" i="53039"/>
  <c r="AD58" i="53039"/>
  <c r="AD59" i="53039"/>
  <c r="AD60" i="53039"/>
  <c r="AD61" i="53039"/>
  <c r="AD62" i="53039"/>
  <c r="AD63" i="53039"/>
  <c r="AD64" i="53039"/>
  <c r="AD65" i="53039"/>
  <c r="AD66" i="53039"/>
  <c r="AD67" i="53039"/>
  <c r="AI1" i="53039" l="1"/>
  <c r="A4" i="53029" l="1"/>
  <c r="A5" i="53029"/>
  <c r="A6" i="53029"/>
  <c r="A7" i="53029"/>
  <c r="A8" i="53029"/>
  <c r="A9" i="53029"/>
  <c r="A10" i="53029"/>
  <c r="A11" i="53029"/>
  <c r="A12" i="53029"/>
  <c r="A13" i="53029"/>
  <c r="A14" i="53029"/>
  <c r="A15" i="53029"/>
  <c r="A16" i="53029"/>
  <c r="A17" i="53029"/>
  <c r="A18" i="53029"/>
  <c r="A19" i="53029"/>
  <c r="A20" i="53029"/>
  <c r="A21" i="53029"/>
  <c r="A22" i="53029"/>
  <c r="A23" i="53029"/>
  <c r="A24" i="53029"/>
  <c r="A25" i="53029"/>
  <c r="A26" i="53029"/>
  <c r="A27" i="53029"/>
  <c r="A28" i="53029"/>
  <c r="A29" i="53029"/>
  <c r="A30" i="53029"/>
  <c r="A31" i="53029"/>
  <c r="A32" i="53029"/>
  <c r="A33" i="53029"/>
  <c r="A3" i="53029"/>
  <c r="G20" i="53029" l="1"/>
  <c r="I20" i="53029" s="1"/>
  <c r="G21" i="53029"/>
  <c r="I21" i="53029" s="1"/>
  <c r="G22" i="53029"/>
  <c r="I22" i="53029" s="1"/>
  <c r="G23" i="53029"/>
  <c r="I23" i="53029" s="1"/>
  <c r="G24" i="53029"/>
  <c r="I24" i="53029" s="1"/>
  <c r="G25" i="53029"/>
  <c r="I25" i="53029" s="1"/>
  <c r="G19" i="53029"/>
  <c r="I19" i="53029" s="1"/>
  <c r="G9" i="53029"/>
  <c r="I9" i="53029" s="1"/>
  <c r="G3" i="53029"/>
  <c r="I3" i="53029" s="1"/>
  <c r="Y47" i="6" l="1"/>
  <c r="Y48" i="6"/>
  <c r="Y49" i="6"/>
  <c r="Y46" i="6"/>
  <c r="J35" i="6" l="1"/>
  <c r="M39" i="6"/>
  <c r="M61" i="6"/>
  <c r="W61" i="6" s="1"/>
  <c r="M60" i="6"/>
  <c r="W60" i="6" s="1"/>
  <c r="M59" i="6"/>
  <c r="W59" i="6" s="1"/>
  <c r="M58" i="6"/>
  <c r="W58" i="6" s="1"/>
  <c r="M57" i="6"/>
  <c r="W57" i="6" s="1"/>
  <c r="M56" i="6"/>
  <c r="W56" i="6" s="1"/>
  <c r="M55" i="6"/>
  <c r="W55" i="6" s="1"/>
  <c r="M54" i="6"/>
  <c r="W54" i="6" s="1"/>
  <c r="M53" i="6"/>
  <c r="W53" i="6" s="1"/>
  <c r="M52" i="6"/>
  <c r="W52" i="6" s="1"/>
  <c r="M51" i="6"/>
  <c r="W51" i="6" s="1"/>
  <c r="M50" i="6"/>
  <c r="W50" i="6" s="1"/>
  <c r="M49" i="6"/>
  <c r="W49" i="6" s="1"/>
  <c r="M48" i="6"/>
  <c r="W48" i="6" s="1"/>
  <c r="M47" i="6"/>
  <c r="W47" i="6" s="1"/>
  <c r="M46" i="6"/>
  <c r="W46" i="6" s="1"/>
  <c r="M45" i="6"/>
  <c r="W45" i="6" s="1"/>
  <c r="M44" i="6"/>
  <c r="W44" i="6" s="1"/>
  <c r="M43" i="6"/>
  <c r="W43" i="6" s="1"/>
  <c r="M42" i="6"/>
  <c r="W42" i="6" s="1"/>
  <c r="M41" i="6"/>
  <c r="W41" i="6" s="1"/>
  <c r="M40" i="6"/>
  <c r="W40" i="6" s="1"/>
  <c r="N16" i="3" l="1"/>
  <c r="R14" i="3" s="1"/>
  <c r="O16" i="3"/>
  <c r="S14" i="3" s="1"/>
  <c r="B19" i="53039"/>
  <c r="D19" i="53039"/>
  <c r="E19" i="53039"/>
  <c r="B18" i="53039"/>
  <c r="D18" i="53039"/>
  <c r="E18" i="53039"/>
  <c r="D5" i="53039"/>
  <c r="E5" i="53039"/>
  <c r="D6" i="53039"/>
  <c r="E6" i="53039"/>
  <c r="D7" i="53039"/>
  <c r="E7" i="53039"/>
  <c r="D8" i="53039"/>
  <c r="E8" i="53039"/>
  <c r="D9" i="53039"/>
  <c r="E9" i="53039"/>
  <c r="D10" i="53039"/>
  <c r="E10" i="53039"/>
  <c r="D11" i="53039"/>
  <c r="E11" i="53039"/>
  <c r="D12" i="53039"/>
  <c r="E12" i="53039"/>
  <c r="D13" i="53039"/>
  <c r="E13" i="53039"/>
  <c r="D14" i="53039"/>
  <c r="E14" i="53039"/>
  <c r="D15" i="53039"/>
  <c r="E15" i="53039"/>
  <c r="D16" i="53039"/>
  <c r="E16" i="53039"/>
  <c r="D17" i="53039"/>
  <c r="E17" i="53039"/>
  <c r="E4" i="53039"/>
  <c r="D4" i="53039"/>
  <c r="B17" i="53039"/>
  <c r="B16" i="53039"/>
  <c r="B15" i="53039"/>
  <c r="B14" i="53039"/>
  <c r="B13" i="53039"/>
  <c r="B12" i="53039"/>
  <c r="B11" i="53039"/>
  <c r="B10" i="53039"/>
  <c r="B9" i="53039"/>
  <c r="B8" i="53039"/>
  <c r="B7" i="53039"/>
  <c r="B6" i="53039"/>
  <c r="B5" i="53039"/>
  <c r="B4" i="53039"/>
  <c r="G32" i="6"/>
  <c r="G24" i="6" s="1"/>
  <c r="G31" i="6"/>
  <c r="G23" i="6" s="1"/>
  <c r="G30" i="6"/>
  <c r="G22" i="6" s="1"/>
  <c r="G29" i="6"/>
  <c r="G21" i="6" s="1"/>
  <c r="E30" i="6"/>
  <c r="E22" i="6" s="1"/>
  <c r="F30" i="6"/>
  <c r="F22" i="6" s="1"/>
  <c r="E31" i="6"/>
  <c r="E23" i="6" s="1"/>
  <c r="F31" i="6"/>
  <c r="F23" i="6" s="1"/>
  <c r="E32" i="6"/>
  <c r="E24" i="6" s="1"/>
  <c r="F32" i="6"/>
  <c r="F24" i="6" s="1"/>
  <c r="F29" i="6"/>
  <c r="F21" i="6" s="1"/>
  <c r="E29" i="6"/>
  <c r="E21" i="6" s="1"/>
  <c r="D29" i="53035"/>
  <c r="D30" i="53035"/>
  <c r="D31" i="53035"/>
  <c r="D32" i="53035"/>
  <c r="D33" i="53035"/>
  <c r="D34" i="53035"/>
  <c r="D35" i="53035"/>
  <c r="D36" i="53035"/>
  <c r="D37" i="53035"/>
  <c r="D38" i="53035"/>
  <c r="D39" i="53035"/>
  <c r="D40" i="53035"/>
  <c r="D41" i="53035"/>
  <c r="D42" i="53035"/>
  <c r="D43" i="53035"/>
  <c r="D44" i="53035"/>
  <c r="D46" i="53035"/>
  <c r="D47" i="53035"/>
  <c r="D48" i="53035"/>
  <c r="D49" i="53035"/>
  <c r="D50" i="53035"/>
  <c r="D51" i="53035"/>
  <c r="D52" i="53035"/>
  <c r="D53" i="53035"/>
  <c r="D54" i="53035"/>
  <c r="D56" i="53035"/>
  <c r="D57" i="53035"/>
  <c r="D58" i="53035"/>
  <c r="D59" i="53035"/>
  <c r="D60" i="53035"/>
  <c r="D64" i="53035"/>
  <c r="D67" i="53035"/>
  <c r="D68" i="53035"/>
  <c r="D69" i="53035"/>
  <c r="D70" i="53035"/>
  <c r="D71" i="53035"/>
  <c r="D72" i="53035"/>
  <c r="D73" i="53035"/>
  <c r="D74" i="53035"/>
  <c r="D75" i="53035"/>
  <c r="D76" i="53035"/>
  <c r="D77" i="53035"/>
  <c r="D78" i="53035"/>
  <c r="D79" i="53035"/>
  <c r="D80" i="53035"/>
  <c r="D81" i="53035"/>
  <c r="D82" i="53035"/>
  <c r="D83" i="53035"/>
  <c r="D84" i="53035"/>
  <c r="D85" i="53035"/>
  <c r="D86" i="53035"/>
  <c r="D6" i="53035"/>
  <c r="D7" i="53035"/>
  <c r="D8" i="53035"/>
  <c r="D9" i="53035"/>
  <c r="D10" i="53035"/>
  <c r="D11" i="53035"/>
  <c r="D12" i="53035"/>
  <c r="D16" i="53035"/>
  <c r="D17" i="53035"/>
  <c r="D18" i="53035"/>
  <c r="D19" i="53035"/>
  <c r="D21" i="53035"/>
  <c r="D22" i="53035"/>
  <c r="D23" i="53035"/>
  <c r="D24" i="53035"/>
  <c r="D25" i="53035"/>
  <c r="D26" i="53035"/>
  <c r="D27" i="53035"/>
  <c r="D4" i="53035"/>
  <c r="G2" i="3"/>
  <c r="C2" i="6"/>
  <c r="G2" i="6"/>
  <c r="I22" i="6" s="1"/>
  <c r="L57" i="6" s="1"/>
  <c r="B2" i="6"/>
  <c r="J3" i="6"/>
  <c r="C11" i="3" s="1"/>
  <c r="D1239" i="53033"/>
  <c r="B1239" i="53033"/>
  <c r="E34" i="53035" s="1"/>
  <c r="D55" i="53035"/>
  <c r="N844" i="53033"/>
  <c r="N843" i="53033"/>
  <c r="N842" i="53033"/>
  <c r="N841" i="53033"/>
  <c r="N840" i="53033"/>
  <c r="N839" i="53033"/>
  <c r="N838" i="53033"/>
  <c r="N837" i="53033"/>
  <c r="N836" i="53033"/>
  <c r="N835" i="53033"/>
  <c r="N834" i="53033"/>
  <c r="N833" i="53033"/>
  <c r="N832" i="53033"/>
  <c r="N831" i="53033"/>
  <c r="N830" i="53033"/>
  <c r="N829" i="53033"/>
  <c r="N828" i="53033"/>
  <c r="N827" i="53033"/>
  <c r="N826" i="53033"/>
  <c r="N825" i="53033"/>
  <c r="N824" i="53033"/>
  <c r="N823" i="53033"/>
  <c r="N822" i="53033"/>
  <c r="N821" i="53033"/>
  <c r="N820" i="53033"/>
  <c r="N819" i="53033"/>
  <c r="N818" i="53033"/>
  <c r="N817" i="53033"/>
  <c r="N816" i="53033"/>
  <c r="N815" i="53033"/>
  <c r="N814" i="53033"/>
  <c r="N813" i="53033"/>
  <c r="N812" i="53033"/>
  <c r="N811" i="53033"/>
  <c r="N810" i="53033"/>
  <c r="N809" i="53033"/>
  <c r="N808" i="53033"/>
  <c r="N807" i="53033"/>
  <c r="N806" i="53033"/>
  <c r="N805" i="53033"/>
  <c r="N804" i="53033"/>
  <c r="N803" i="53033"/>
  <c r="N802" i="53033"/>
  <c r="N801" i="53033"/>
  <c r="N800" i="53033"/>
  <c r="N799" i="53033"/>
  <c r="N798" i="53033"/>
  <c r="N797" i="53033"/>
  <c r="N796" i="53033"/>
  <c r="N795" i="53033"/>
  <c r="N794" i="53033"/>
  <c r="N793" i="53033"/>
  <c r="N792" i="53033"/>
  <c r="N791" i="53033"/>
  <c r="N790" i="53033"/>
  <c r="N789" i="53033"/>
  <c r="N788" i="53033"/>
  <c r="N787" i="53033"/>
  <c r="N786" i="53033"/>
  <c r="N785" i="53033"/>
  <c r="N784" i="53033"/>
  <c r="N783" i="53033"/>
  <c r="N782" i="53033"/>
  <c r="N781" i="53033"/>
  <c r="N780" i="53033"/>
  <c r="N779" i="53033"/>
  <c r="N778" i="53033"/>
  <c r="N777" i="53033"/>
  <c r="N776" i="53033"/>
  <c r="N775" i="53033"/>
  <c r="N774" i="53033"/>
  <c r="N773" i="53033"/>
  <c r="N772" i="53033"/>
  <c r="N771" i="53033"/>
  <c r="N770" i="53033"/>
  <c r="N769" i="53033"/>
  <c r="N768" i="53033"/>
  <c r="N767" i="53033"/>
  <c r="N766" i="53033"/>
  <c r="N765" i="53033"/>
  <c r="N764" i="53033"/>
  <c r="N763" i="53033"/>
  <c r="N762" i="53033"/>
  <c r="N761" i="53033"/>
  <c r="N760" i="53033"/>
  <c r="N759" i="53033"/>
  <c r="N758" i="53033"/>
  <c r="N757" i="53033"/>
  <c r="N756" i="53033"/>
  <c r="N755" i="53033"/>
  <c r="N754" i="53033"/>
  <c r="N753" i="53033"/>
  <c r="N752" i="53033"/>
  <c r="N751" i="53033"/>
  <c r="N750" i="53033"/>
  <c r="N749" i="53033"/>
  <c r="N748" i="53033"/>
  <c r="N747" i="53033"/>
  <c r="N746" i="53033"/>
  <c r="N745" i="53033"/>
  <c r="N744" i="53033"/>
  <c r="N743" i="53033"/>
  <c r="N742" i="53033"/>
  <c r="N741" i="53033"/>
  <c r="N740" i="53033"/>
  <c r="N739" i="53033"/>
  <c r="N738" i="53033"/>
  <c r="N737" i="53033"/>
  <c r="N736" i="53033"/>
  <c r="N735" i="53033"/>
  <c r="N734" i="53033"/>
  <c r="N733" i="53033"/>
  <c r="N732" i="53033"/>
  <c r="N731" i="53033"/>
  <c r="N730" i="53033"/>
  <c r="N729" i="53033"/>
  <c r="N728" i="53033"/>
  <c r="N727" i="53033"/>
  <c r="N726" i="53033"/>
  <c r="N725" i="53033"/>
  <c r="N724" i="53033"/>
  <c r="N723" i="53033"/>
  <c r="N722" i="53033"/>
  <c r="N721" i="53033"/>
  <c r="N720" i="53033"/>
  <c r="N719" i="53033"/>
  <c r="N718" i="53033"/>
  <c r="N717" i="53033"/>
  <c r="N716" i="53033"/>
  <c r="N715" i="53033"/>
  <c r="N714" i="53033"/>
  <c r="N713" i="53033"/>
  <c r="N712" i="53033"/>
  <c r="N711" i="53033"/>
  <c r="N710" i="53033"/>
  <c r="N709" i="53033"/>
  <c r="N708" i="53033"/>
  <c r="N707" i="53033"/>
  <c r="N706" i="53033"/>
  <c r="N705" i="53033"/>
  <c r="N704" i="53033"/>
  <c r="N703" i="53033"/>
  <c r="N702" i="53033"/>
  <c r="N701" i="53033"/>
  <c r="N700" i="53033"/>
  <c r="N699" i="53033"/>
  <c r="N698" i="53033"/>
  <c r="N697" i="53033"/>
  <c r="N696" i="53033"/>
  <c r="N695" i="53033"/>
  <c r="N694" i="53033"/>
  <c r="N693" i="53033"/>
  <c r="N692" i="53033"/>
  <c r="N691" i="53033"/>
  <c r="N690" i="53033"/>
  <c r="N689" i="53033"/>
  <c r="N688" i="53033"/>
  <c r="N687" i="53033"/>
  <c r="N686" i="53033"/>
  <c r="N685" i="53033"/>
  <c r="N684" i="53033"/>
  <c r="N683" i="53033"/>
  <c r="N682" i="53033"/>
  <c r="N681" i="53033"/>
  <c r="N680" i="53033"/>
  <c r="N679" i="53033"/>
  <c r="N678" i="53033"/>
  <c r="N677" i="53033"/>
  <c r="N676" i="53033"/>
  <c r="N675" i="53033"/>
  <c r="N674" i="53033"/>
  <c r="N673" i="53033"/>
  <c r="N672" i="53033"/>
  <c r="N671" i="53033"/>
  <c r="N670" i="53033"/>
  <c r="N669" i="53033"/>
  <c r="N668" i="53033"/>
  <c r="N667" i="53033"/>
  <c r="N666" i="53033"/>
  <c r="N665" i="53033"/>
  <c r="N664" i="53033"/>
  <c r="N663" i="53033"/>
  <c r="N662" i="53033"/>
  <c r="N661" i="53033"/>
  <c r="N660" i="53033"/>
  <c r="N659" i="53033"/>
  <c r="N658" i="53033"/>
  <c r="N657" i="53033"/>
  <c r="N656" i="53033"/>
  <c r="N655" i="53033"/>
  <c r="N654" i="53033"/>
  <c r="N653" i="53033"/>
  <c r="N652" i="53033"/>
  <c r="N651" i="53033"/>
  <c r="N650" i="53033"/>
  <c r="N649" i="53033"/>
  <c r="N648" i="53033"/>
  <c r="N647" i="53033"/>
  <c r="N646" i="53033"/>
  <c r="N645" i="53033"/>
  <c r="N644" i="53033"/>
  <c r="N643" i="53033"/>
  <c r="N642" i="53033"/>
  <c r="N641" i="53033"/>
  <c r="N640" i="53033"/>
  <c r="N639" i="53033"/>
  <c r="N638" i="53033"/>
  <c r="N637" i="53033"/>
  <c r="N636" i="53033"/>
  <c r="N635" i="53033"/>
  <c r="N634" i="53033"/>
  <c r="N633" i="53033"/>
  <c r="N632" i="53033"/>
  <c r="N631" i="53033"/>
  <c r="N630" i="53033"/>
  <c r="N629" i="53033"/>
  <c r="N628" i="53033"/>
  <c r="N627" i="53033"/>
  <c r="N626" i="53033"/>
  <c r="N625" i="53033"/>
  <c r="N624" i="53033"/>
  <c r="N623" i="53033"/>
  <c r="N622" i="53033"/>
  <c r="N621" i="53033"/>
  <c r="N620" i="53033"/>
  <c r="N619" i="53033"/>
  <c r="N618" i="53033"/>
  <c r="N617" i="53033"/>
  <c r="N616" i="53033"/>
  <c r="N615" i="53033"/>
  <c r="N614" i="53033"/>
  <c r="N613" i="53033"/>
  <c r="N612" i="53033"/>
  <c r="N611" i="53033"/>
  <c r="N610" i="53033"/>
  <c r="N609" i="53033"/>
  <c r="N608" i="53033"/>
  <c r="N607" i="53033"/>
  <c r="N606" i="53033"/>
  <c r="N605" i="53033"/>
  <c r="N604" i="53033"/>
  <c r="N603" i="53033"/>
  <c r="N602" i="53033"/>
  <c r="N601" i="53033"/>
  <c r="N600" i="53033"/>
  <c r="N599" i="53033"/>
  <c r="N598" i="53033"/>
  <c r="N597" i="53033"/>
  <c r="N596" i="53033"/>
  <c r="N595" i="53033"/>
  <c r="N594" i="53033"/>
  <c r="N593" i="53033"/>
  <c r="N592" i="53033"/>
  <c r="N591" i="53033"/>
  <c r="N590" i="53033"/>
  <c r="N589" i="53033"/>
  <c r="N588" i="53033"/>
  <c r="N587" i="53033"/>
  <c r="N586" i="53033"/>
  <c r="N585" i="53033"/>
  <c r="N584" i="53033"/>
  <c r="N583" i="53033"/>
  <c r="N582" i="53033"/>
  <c r="N581" i="53033"/>
  <c r="N580" i="53033"/>
  <c r="N579" i="53033"/>
  <c r="N578" i="53033"/>
  <c r="N577" i="53033"/>
  <c r="N576" i="53033"/>
  <c r="N575" i="53033"/>
  <c r="N574" i="53033"/>
  <c r="N573" i="53033"/>
  <c r="N572" i="53033"/>
  <c r="N571" i="53033"/>
  <c r="N570" i="53033"/>
  <c r="N569" i="53033"/>
  <c r="N568" i="53033"/>
  <c r="N567" i="53033"/>
  <c r="N566" i="53033"/>
  <c r="N565" i="53033"/>
  <c r="N564" i="53033"/>
  <c r="N563" i="53033"/>
  <c r="N562" i="53033"/>
  <c r="N561" i="53033"/>
  <c r="N560" i="53033"/>
  <c r="N559" i="53033"/>
  <c r="N558" i="53033"/>
  <c r="N557" i="53033"/>
  <c r="N556" i="53033"/>
  <c r="N555" i="53033"/>
  <c r="N554" i="53033"/>
  <c r="N553" i="53033"/>
  <c r="N552" i="53033"/>
  <c r="N551" i="53033"/>
  <c r="N550" i="53033"/>
  <c r="N549" i="53033"/>
  <c r="N548" i="53033"/>
  <c r="N547" i="53033"/>
  <c r="N546" i="53033"/>
  <c r="N545" i="53033"/>
  <c r="N544" i="53033"/>
  <c r="N543" i="53033"/>
  <c r="N542" i="53033"/>
  <c r="N541" i="53033"/>
  <c r="N540" i="53033"/>
  <c r="N539" i="53033"/>
  <c r="N538" i="53033"/>
  <c r="N537" i="53033"/>
  <c r="N536" i="53033"/>
  <c r="N535" i="53033"/>
  <c r="N534" i="53033"/>
  <c r="N533" i="53033"/>
  <c r="N532" i="53033"/>
  <c r="N531" i="53033"/>
  <c r="N530" i="53033"/>
  <c r="N529" i="53033"/>
  <c r="N528" i="53033"/>
  <c r="N527" i="53033"/>
  <c r="N526" i="53033"/>
  <c r="N525" i="53033"/>
  <c r="N524" i="53033"/>
  <c r="N523" i="53033"/>
  <c r="N522" i="53033"/>
  <c r="N521" i="53033"/>
  <c r="N520" i="53033"/>
  <c r="N519" i="53033"/>
  <c r="N518" i="53033"/>
  <c r="N517" i="53033"/>
  <c r="N516" i="53033"/>
  <c r="N515" i="53033"/>
  <c r="N514" i="53033"/>
  <c r="N513" i="53033"/>
  <c r="N512" i="53033"/>
  <c r="N511" i="53033"/>
  <c r="N510" i="53033"/>
  <c r="N509" i="53033"/>
  <c r="N508" i="53033"/>
  <c r="N507" i="53033"/>
  <c r="N506" i="53033"/>
  <c r="N505" i="53033"/>
  <c r="N504" i="53033"/>
  <c r="N503" i="53033"/>
  <c r="N502" i="53033"/>
  <c r="N501" i="53033"/>
  <c r="N500" i="53033"/>
  <c r="N499" i="53033"/>
  <c r="N498" i="53033"/>
  <c r="N497" i="53033"/>
  <c r="N496" i="53033"/>
  <c r="N495" i="53033"/>
  <c r="N494" i="53033"/>
  <c r="N493" i="53033"/>
  <c r="N492" i="53033"/>
  <c r="N491" i="53033"/>
  <c r="N490" i="53033"/>
  <c r="N489" i="53033"/>
  <c r="N488" i="53033"/>
  <c r="N487" i="53033"/>
  <c r="N486" i="53033"/>
  <c r="N485" i="53033"/>
  <c r="N484" i="53033"/>
  <c r="N483" i="53033"/>
  <c r="N482" i="53033"/>
  <c r="N481" i="53033"/>
  <c r="N480" i="53033"/>
  <c r="N479" i="53033"/>
  <c r="N478" i="53033"/>
  <c r="N477" i="53033"/>
  <c r="N476" i="53033"/>
  <c r="N475" i="53033"/>
  <c r="N474" i="53033"/>
  <c r="N473" i="53033"/>
  <c r="N472" i="53033"/>
  <c r="N471" i="53033"/>
  <c r="N470" i="53033"/>
  <c r="N469" i="53033"/>
  <c r="N468" i="53033"/>
  <c r="N467" i="53033"/>
  <c r="N466" i="53033"/>
  <c r="N465" i="53033"/>
  <c r="N464" i="53033"/>
  <c r="N463" i="53033"/>
  <c r="N462" i="53033"/>
  <c r="N461" i="53033"/>
  <c r="N460" i="53033"/>
  <c r="N459" i="53033"/>
  <c r="N458" i="53033"/>
  <c r="N457" i="53033"/>
  <c r="N456" i="53033"/>
  <c r="N455" i="53033"/>
  <c r="N454" i="53033"/>
  <c r="N453" i="53033"/>
  <c r="N452" i="53033"/>
  <c r="N451" i="53033"/>
  <c r="N450" i="53033"/>
  <c r="N449" i="53033"/>
  <c r="N448" i="53033"/>
  <c r="N447" i="53033"/>
  <c r="N446" i="53033"/>
  <c r="N445" i="53033"/>
  <c r="N444" i="53033"/>
  <c r="N443" i="53033"/>
  <c r="N442" i="53033"/>
  <c r="N441" i="53033"/>
  <c r="N440" i="53033"/>
  <c r="N439" i="53033"/>
  <c r="N438" i="53033"/>
  <c r="N437" i="53033"/>
  <c r="N436" i="53033"/>
  <c r="N435" i="53033"/>
  <c r="N434" i="53033"/>
  <c r="N433" i="53033"/>
  <c r="N432" i="53033"/>
  <c r="N431" i="53033"/>
  <c r="N430" i="53033"/>
  <c r="N429" i="53033"/>
  <c r="N428" i="53033"/>
  <c r="N427" i="53033"/>
  <c r="N426" i="53033"/>
  <c r="N425" i="53033"/>
  <c r="N424" i="53033"/>
  <c r="N423" i="53033"/>
  <c r="N422" i="53033"/>
  <c r="N421" i="53033"/>
  <c r="N420" i="53033"/>
  <c r="N419" i="53033"/>
  <c r="N418" i="53033"/>
  <c r="N417" i="53033"/>
  <c r="N416" i="53033"/>
  <c r="N415" i="53033"/>
  <c r="N414" i="53033"/>
  <c r="N413" i="53033"/>
  <c r="M413" i="53033"/>
  <c r="N412" i="53033"/>
  <c r="M412" i="53033"/>
  <c r="N411" i="53033"/>
  <c r="M411" i="53033"/>
  <c r="N410" i="53033"/>
  <c r="M410" i="53033"/>
  <c r="N409" i="53033"/>
  <c r="M409" i="53033"/>
  <c r="N408" i="53033"/>
  <c r="M408" i="53033"/>
  <c r="N407" i="53033"/>
  <c r="M407" i="53033"/>
  <c r="N406" i="53033"/>
  <c r="M406" i="53033"/>
  <c r="N405" i="53033"/>
  <c r="M405" i="53033"/>
  <c r="N404" i="53033"/>
  <c r="M404" i="53033"/>
  <c r="N403" i="53033"/>
  <c r="M403" i="53033"/>
  <c r="N402" i="53033"/>
  <c r="M402" i="53033"/>
  <c r="N401" i="53033"/>
  <c r="M401" i="53033"/>
  <c r="N400" i="53033"/>
  <c r="M400" i="53033"/>
  <c r="N399" i="53033"/>
  <c r="M399" i="53033"/>
  <c r="N398" i="53033"/>
  <c r="M398" i="53033"/>
  <c r="N397" i="53033"/>
  <c r="M397" i="53033"/>
  <c r="N396" i="53033"/>
  <c r="M396" i="53033"/>
  <c r="N395" i="53033"/>
  <c r="M395" i="53033"/>
  <c r="N394" i="53033"/>
  <c r="M394" i="53033"/>
  <c r="N393" i="53033"/>
  <c r="M393" i="53033"/>
  <c r="N392" i="53033"/>
  <c r="M392" i="53033"/>
  <c r="N391" i="53033"/>
  <c r="M391" i="53033"/>
  <c r="N390" i="53033"/>
  <c r="M390" i="53033"/>
  <c r="N389" i="53033"/>
  <c r="M389" i="53033"/>
  <c r="N388" i="53033"/>
  <c r="M388" i="53033"/>
  <c r="N387" i="53033"/>
  <c r="M387" i="53033"/>
  <c r="N386" i="53033"/>
  <c r="M386" i="53033"/>
  <c r="N385" i="53033"/>
  <c r="M385" i="53033"/>
  <c r="N384" i="53033"/>
  <c r="M384" i="53033"/>
  <c r="N383" i="53033"/>
  <c r="M383" i="53033"/>
  <c r="N382" i="53033"/>
  <c r="M382" i="53033"/>
  <c r="N381" i="53033"/>
  <c r="M381" i="53033"/>
  <c r="N380" i="53033"/>
  <c r="M380" i="53033"/>
  <c r="N379" i="53033"/>
  <c r="M379" i="53033"/>
  <c r="N378" i="53033"/>
  <c r="M378" i="53033"/>
  <c r="N377" i="53033"/>
  <c r="M377" i="53033"/>
  <c r="N376" i="53033"/>
  <c r="M376" i="53033"/>
  <c r="N375" i="53033"/>
  <c r="M375" i="53033"/>
  <c r="N374" i="53033"/>
  <c r="M374" i="53033"/>
  <c r="N373" i="53033"/>
  <c r="M373" i="53033"/>
  <c r="N372" i="53033"/>
  <c r="M372" i="53033"/>
  <c r="N371" i="53033"/>
  <c r="M371" i="53033"/>
  <c r="N370" i="53033"/>
  <c r="M370" i="53033"/>
  <c r="N369" i="53033"/>
  <c r="M369" i="53033"/>
  <c r="N368" i="53033"/>
  <c r="M368" i="53033"/>
  <c r="N367" i="53033"/>
  <c r="M367" i="53033"/>
  <c r="N366" i="53033"/>
  <c r="M366" i="53033"/>
  <c r="N365" i="53033"/>
  <c r="M365" i="53033"/>
  <c r="N364" i="53033"/>
  <c r="M364" i="53033"/>
  <c r="N363" i="53033"/>
  <c r="M363" i="53033"/>
  <c r="N362" i="53033"/>
  <c r="M362" i="53033"/>
  <c r="N361" i="53033"/>
  <c r="M361" i="53033"/>
  <c r="N360" i="53033"/>
  <c r="M360" i="53033"/>
  <c r="N359" i="53033"/>
  <c r="M359" i="53033"/>
  <c r="N358" i="53033"/>
  <c r="M358" i="53033"/>
  <c r="N357" i="53033"/>
  <c r="M357" i="53033"/>
  <c r="N356" i="53033"/>
  <c r="M356" i="53033"/>
  <c r="N355" i="53033"/>
  <c r="M355" i="53033"/>
  <c r="N354" i="53033"/>
  <c r="M354" i="53033"/>
  <c r="N353" i="53033"/>
  <c r="M353" i="53033"/>
  <c r="N352" i="53033"/>
  <c r="M352" i="53033"/>
  <c r="N351" i="53033"/>
  <c r="M351" i="53033"/>
  <c r="N350" i="53033"/>
  <c r="M350" i="53033"/>
  <c r="N349" i="53033"/>
  <c r="M349" i="53033"/>
  <c r="N348" i="53033"/>
  <c r="M348" i="53033"/>
  <c r="N347" i="53033"/>
  <c r="M347" i="53033"/>
  <c r="N346" i="53033"/>
  <c r="M346" i="53033"/>
  <c r="N345" i="53033"/>
  <c r="M345" i="53033"/>
  <c r="N344" i="53033"/>
  <c r="M344" i="53033"/>
  <c r="N343" i="53033"/>
  <c r="M343" i="53033"/>
  <c r="N342" i="53033"/>
  <c r="M342" i="53033"/>
  <c r="N341" i="53033"/>
  <c r="M341" i="53033"/>
  <c r="N340" i="53033"/>
  <c r="M340" i="53033"/>
  <c r="N339" i="53033"/>
  <c r="M339" i="53033"/>
  <c r="N338" i="53033"/>
  <c r="M338" i="53033"/>
  <c r="N337" i="53033"/>
  <c r="M337" i="53033"/>
  <c r="N336" i="53033"/>
  <c r="M336" i="53033"/>
  <c r="N335" i="53033"/>
  <c r="M335" i="53033"/>
  <c r="N334" i="53033"/>
  <c r="M334" i="53033"/>
  <c r="N333" i="53033"/>
  <c r="M333" i="53033"/>
  <c r="N332" i="53033"/>
  <c r="M332" i="53033"/>
  <c r="N331" i="53033"/>
  <c r="M331" i="53033"/>
  <c r="N330" i="53033"/>
  <c r="M330" i="53033"/>
  <c r="N329" i="53033"/>
  <c r="M329" i="53033"/>
  <c r="N328" i="53033"/>
  <c r="M328" i="53033"/>
  <c r="N327" i="53033"/>
  <c r="M327" i="53033"/>
  <c r="N326" i="53033"/>
  <c r="M326" i="53033"/>
  <c r="N325" i="53033"/>
  <c r="M325" i="53033"/>
  <c r="N324" i="53033"/>
  <c r="M324" i="53033"/>
  <c r="N323" i="53033"/>
  <c r="M323" i="53033"/>
  <c r="N322" i="53033"/>
  <c r="M322" i="53033"/>
  <c r="N321" i="53033"/>
  <c r="M321" i="53033"/>
  <c r="N320" i="53033"/>
  <c r="M320" i="53033"/>
  <c r="N319" i="53033"/>
  <c r="M319" i="53033"/>
  <c r="N318" i="53033"/>
  <c r="M318" i="53033"/>
  <c r="N317" i="53033"/>
  <c r="M317" i="53033"/>
  <c r="N316" i="53033"/>
  <c r="M316" i="53033"/>
  <c r="N315" i="53033"/>
  <c r="M315" i="53033"/>
  <c r="N314" i="53033"/>
  <c r="M314" i="53033"/>
  <c r="N313" i="53033"/>
  <c r="M313" i="53033"/>
  <c r="N312" i="53033"/>
  <c r="M312" i="53033"/>
  <c r="N311" i="53033"/>
  <c r="M311" i="53033"/>
  <c r="N310" i="53033"/>
  <c r="M310" i="53033"/>
  <c r="N309" i="53033"/>
  <c r="M309" i="53033"/>
  <c r="N308" i="53033"/>
  <c r="M308" i="53033"/>
  <c r="N307" i="53033"/>
  <c r="M307" i="53033"/>
  <c r="N306" i="53033"/>
  <c r="M306" i="53033"/>
  <c r="N305" i="53033"/>
  <c r="M305" i="53033"/>
  <c r="N304" i="53033"/>
  <c r="M304" i="53033"/>
  <c r="N303" i="53033"/>
  <c r="M303" i="53033"/>
  <c r="N302" i="53033"/>
  <c r="M302" i="53033"/>
  <c r="N301" i="53033"/>
  <c r="M301" i="53033"/>
  <c r="N300" i="53033"/>
  <c r="M300" i="53033"/>
  <c r="N299" i="53033"/>
  <c r="M299" i="53033"/>
  <c r="N298" i="53033"/>
  <c r="M298" i="53033"/>
  <c r="N297" i="53033"/>
  <c r="M297" i="53033"/>
  <c r="N296" i="53033"/>
  <c r="M296" i="53033"/>
  <c r="N295" i="53033"/>
  <c r="M295" i="53033"/>
  <c r="N294" i="53033"/>
  <c r="M294" i="53033"/>
  <c r="N293" i="53033"/>
  <c r="M293" i="53033"/>
  <c r="N292" i="53033"/>
  <c r="M292" i="53033"/>
  <c r="N291" i="53033"/>
  <c r="M291" i="53033"/>
  <c r="N290" i="53033"/>
  <c r="M290" i="53033"/>
  <c r="N289" i="53033"/>
  <c r="M289" i="53033"/>
  <c r="N288" i="53033"/>
  <c r="M288" i="53033"/>
  <c r="N287" i="53033"/>
  <c r="M287" i="53033"/>
  <c r="N286" i="53033"/>
  <c r="M286" i="53033"/>
  <c r="N285" i="53033"/>
  <c r="M285" i="53033"/>
  <c r="N284" i="53033"/>
  <c r="M284" i="53033"/>
  <c r="N283" i="53033"/>
  <c r="M283" i="53033"/>
  <c r="N282" i="53033"/>
  <c r="M282" i="53033"/>
  <c r="N281" i="53033"/>
  <c r="M281" i="53033"/>
  <c r="N280" i="53033"/>
  <c r="M280" i="53033"/>
  <c r="N279" i="53033"/>
  <c r="M279" i="53033"/>
  <c r="N278" i="53033"/>
  <c r="M278" i="53033"/>
  <c r="N277" i="53033"/>
  <c r="M277" i="53033"/>
  <c r="N276" i="53033"/>
  <c r="M276" i="53033"/>
  <c r="N275" i="53033"/>
  <c r="M275" i="53033"/>
  <c r="N274" i="53033"/>
  <c r="M274" i="53033"/>
  <c r="N273" i="53033"/>
  <c r="M273" i="53033"/>
  <c r="N272" i="53033"/>
  <c r="M272" i="53033"/>
  <c r="N271" i="53033"/>
  <c r="M271" i="53033"/>
  <c r="N270" i="53033"/>
  <c r="M270" i="53033"/>
  <c r="N269" i="53033"/>
  <c r="M269" i="53033"/>
  <c r="N268" i="53033"/>
  <c r="M268" i="53033"/>
  <c r="N267" i="53033"/>
  <c r="M267" i="53033"/>
  <c r="N266" i="53033"/>
  <c r="M266" i="53033"/>
  <c r="N265" i="53033"/>
  <c r="M265" i="53033"/>
  <c r="N264" i="53033"/>
  <c r="M264" i="53033"/>
  <c r="N263" i="53033"/>
  <c r="M263" i="53033"/>
  <c r="N262" i="53033"/>
  <c r="M262" i="53033"/>
  <c r="Q261" i="53033"/>
  <c r="R261" i="53033" s="1"/>
  <c r="N261" i="53033"/>
  <c r="M261" i="53033"/>
  <c r="Q260" i="53033"/>
  <c r="R260" i="53033" s="1"/>
  <c r="N260" i="53033"/>
  <c r="M260" i="53033"/>
  <c r="Q259" i="53033"/>
  <c r="R259" i="53033" s="1"/>
  <c r="N259" i="53033"/>
  <c r="M259" i="53033"/>
  <c r="Q258" i="53033"/>
  <c r="R258" i="53033" s="1"/>
  <c r="N258" i="53033"/>
  <c r="M258" i="53033"/>
  <c r="Q257" i="53033"/>
  <c r="R257" i="53033" s="1"/>
  <c r="N257" i="53033"/>
  <c r="M257" i="53033"/>
  <c r="Q256" i="53033"/>
  <c r="R256" i="53033" s="1"/>
  <c r="N256" i="53033"/>
  <c r="M256" i="53033"/>
  <c r="Q255" i="53033"/>
  <c r="R255" i="53033" s="1"/>
  <c r="N255" i="53033"/>
  <c r="M255" i="53033"/>
  <c r="Q254" i="53033"/>
  <c r="R254" i="53033" s="1"/>
  <c r="N254" i="53033"/>
  <c r="M254" i="53033"/>
  <c r="Q253" i="53033"/>
  <c r="R253" i="53033" s="1"/>
  <c r="N253" i="53033"/>
  <c r="M253" i="53033"/>
  <c r="Q252" i="53033"/>
  <c r="R252" i="53033" s="1"/>
  <c r="N252" i="53033"/>
  <c r="M252" i="53033"/>
  <c r="Q251" i="53033"/>
  <c r="R251" i="53033" s="1"/>
  <c r="N251" i="53033"/>
  <c r="M251" i="53033"/>
  <c r="Q250" i="53033"/>
  <c r="R250" i="53033" s="1"/>
  <c r="N250" i="53033"/>
  <c r="M250" i="53033"/>
  <c r="Q249" i="53033"/>
  <c r="R249" i="53033" s="1"/>
  <c r="N249" i="53033"/>
  <c r="M249" i="53033"/>
  <c r="Q248" i="53033"/>
  <c r="R248" i="53033" s="1"/>
  <c r="N248" i="53033"/>
  <c r="M248" i="53033"/>
  <c r="Q247" i="53033"/>
  <c r="R247" i="53033" s="1"/>
  <c r="N247" i="53033"/>
  <c r="M247" i="53033"/>
  <c r="Q246" i="53033"/>
  <c r="R246" i="53033" s="1"/>
  <c r="N246" i="53033"/>
  <c r="M246" i="53033"/>
  <c r="Q245" i="53033"/>
  <c r="R245" i="53033" s="1"/>
  <c r="N245" i="53033"/>
  <c r="M245" i="53033"/>
  <c r="Q244" i="53033"/>
  <c r="R244" i="53033" s="1"/>
  <c r="N244" i="53033"/>
  <c r="M244" i="53033"/>
  <c r="Q243" i="53033"/>
  <c r="R243" i="53033" s="1"/>
  <c r="N243" i="53033"/>
  <c r="M243" i="53033"/>
  <c r="Q242" i="53033"/>
  <c r="R242" i="53033" s="1"/>
  <c r="N242" i="53033"/>
  <c r="M242" i="53033"/>
  <c r="Q241" i="53033"/>
  <c r="R241" i="53033" s="1"/>
  <c r="N241" i="53033"/>
  <c r="M241" i="53033"/>
  <c r="Q240" i="53033"/>
  <c r="R240" i="53033" s="1"/>
  <c r="N240" i="53033"/>
  <c r="M240" i="53033"/>
  <c r="Q239" i="53033"/>
  <c r="R239" i="53033" s="1"/>
  <c r="N239" i="53033"/>
  <c r="M239" i="53033"/>
  <c r="Q238" i="53033"/>
  <c r="R238" i="53033" s="1"/>
  <c r="N238" i="53033"/>
  <c r="M238" i="53033"/>
  <c r="Q237" i="53033"/>
  <c r="R237" i="53033" s="1"/>
  <c r="N237" i="53033"/>
  <c r="M237" i="53033"/>
  <c r="Q236" i="53033"/>
  <c r="R236" i="53033" s="1"/>
  <c r="N236" i="53033"/>
  <c r="M236" i="53033"/>
  <c r="Q235" i="53033"/>
  <c r="R235" i="53033" s="1"/>
  <c r="N235" i="53033"/>
  <c r="M235" i="53033"/>
  <c r="Q234" i="53033"/>
  <c r="R234" i="53033" s="1"/>
  <c r="N234" i="53033"/>
  <c r="M234" i="53033"/>
  <c r="Q233" i="53033"/>
  <c r="R233" i="53033" s="1"/>
  <c r="N233" i="53033"/>
  <c r="M233" i="53033"/>
  <c r="Q232" i="53033"/>
  <c r="R232" i="53033" s="1"/>
  <c r="N232" i="53033"/>
  <c r="M232" i="53033"/>
  <c r="Q231" i="53033"/>
  <c r="R231" i="53033" s="1"/>
  <c r="N231" i="53033"/>
  <c r="M231" i="53033"/>
  <c r="Q230" i="53033"/>
  <c r="R230" i="53033" s="1"/>
  <c r="N230" i="53033"/>
  <c r="M230" i="53033"/>
  <c r="Q229" i="53033"/>
  <c r="R229" i="53033" s="1"/>
  <c r="N229" i="53033"/>
  <c r="M229" i="53033"/>
  <c r="Q228" i="53033"/>
  <c r="R228" i="53033" s="1"/>
  <c r="N228" i="53033"/>
  <c r="M228" i="53033"/>
  <c r="Q227" i="53033"/>
  <c r="R227" i="53033" s="1"/>
  <c r="N227" i="53033"/>
  <c r="M227" i="53033"/>
  <c r="Q226" i="53033"/>
  <c r="R226" i="53033" s="1"/>
  <c r="N226" i="53033"/>
  <c r="M226" i="53033"/>
  <c r="Q225" i="53033"/>
  <c r="R225" i="53033" s="1"/>
  <c r="N225" i="53033"/>
  <c r="M225" i="53033"/>
  <c r="Q224" i="53033"/>
  <c r="R224" i="53033" s="1"/>
  <c r="N224" i="53033"/>
  <c r="M224" i="53033"/>
  <c r="Q223" i="53033"/>
  <c r="R223" i="53033" s="1"/>
  <c r="N223" i="53033"/>
  <c r="M223" i="53033"/>
  <c r="Q222" i="53033"/>
  <c r="R222" i="53033" s="1"/>
  <c r="N222" i="53033"/>
  <c r="M222" i="53033"/>
  <c r="Q221" i="53033"/>
  <c r="R221" i="53033" s="1"/>
  <c r="N221" i="53033"/>
  <c r="M221" i="53033"/>
  <c r="Q220" i="53033"/>
  <c r="R220" i="53033" s="1"/>
  <c r="N220" i="53033"/>
  <c r="M220" i="53033"/>
  <c r="Q219" i="53033"/>
  <c r="R219" i="53033" s="1"/>
  <c r="N219" i="53033"/>
  <c r="M219" i="53033"/>
  <c r="Q218" i="53033"/>
  <c r="R218" i="53033" s="1"/>
  <c r="N218" i="53033"/>
  <c r="M218" i="53033"/>
  <c r="Q217" i="53033"/>
  <c r="R217" i="53033" s="1"/>
  <c r="N217" i="53033"/>
  <c r="M217" i="53033"/>
  <c r="Q216" i="53033"/>
  <c r="R216" i="53033" s="1"/>
  <c r="N216" i="53033"/>
  <c r="M216" i="53033"/>
  <c r="Q215" i="53033"/>
  <c r="R215" i="53033" s="1"/>
  <c r="N215" i="53033"/>
  <c r="M215" i="53033"/>
  <c r="Q214" i="53033"/>
  <c r="R214" i="53033" s="1"/>
  <c r="N214" i="53033"/>
  <c r="M214" i="53033"/>
  <c r="Q213" i="53033"/>
  <c r="R213" i="53033" s="1"/>
  <c r="N213" i="53033"/>
  <c r="M213" i="53033"/>
  <c r="Q212" i="53033"/>
  <c r="R212" i="53033" s="1"/>
  <c r="N212" i="53033"/>
  <c r="M212" i="53033"/>
  <c r="Q211" i="53033"/>
  <c r="R211" i="53033" s="1"/>
  <c r="N211" i="53033"/>
  <c r="M211" i="53033"/>
  <c r="Q210" i="53033"/>
  <c r="R210" i="53033" s="1"/>
  <c r="N210" i="53033"/>
  <c r="M210" i="53033"/>
  <c r="Q209" i="53033"/>
  <c r="R209" i="53033" s="1"/>
  <c r="N209" i="53033"/>
  <c r="M209" i="53033"/>
  <c r="Q208" i="53033"/>
  <c r="R208" i="53033" s="1"/>
  <c r="N208" i="53033"/>
  <c r="M208" i="53033"/>
  <c r="Q207" i="53033"/>
  <c r="R207" i="53033" s="1"/>
  <c r="N207" i="53033"/>
  <c r="M207" i="53033"/>
  <c r="Q206" i="53033"/>
  <c r="R206" i="53033" s="1"/>
  <c r="N206" i="53033"/>
  <c r="M206" i="53033"/>
  <c r="Q205" i="53033"/>
  <c r="R205" i="53033" s="1"/>
  <c r="N205" i="53033"/>
  <c r="M205" i="53033"/>
  <c r="Q204" i="53033"/>
  <c r="R204" i="53033" s="1"/>
  <c r="N204" i="53033"/>
  <c r="M204" i="53033"/>
  <c r="Q203" i="53033"/>
  <c r="R203" i="53033" s="1"/>
  <c r="N203" i="53033"/>
  <c r="M203" i="53033"/>
  <c r="Q202" i="53033"/>
  <c r="R202" i="53033" s="1"/>
  <c r="N202" i="53033"/>
  <c r="M202" i="53033"/>
  <c r="Q201" i="53033"/>
  <c r="R201" i="53033" s="1"/>
  <c r="N201" i="53033"/>
  <c r="M201" i="53033"/>
  <c r="Q200" i="53033"/>
  <c r="R200" i="53033" s="1"/>
  <c r="N200" i="53033"/>
  <c r="M200" i="53033"/>
  <c r="Q199" i="53033"/>
  <c r="R199" i="53033" s="1"/>
  <c r="N199" i="53033"/>
  <c r="M199" i="53033"/>
  <c r="Q198" i="53033"/>
  <c r="R198" i="53033" s="1"/>
  <c r="N198" i="53033"/>
  <c r="M198" i="53033"/>
  <c r="Q197" i="53033"/>
  <c r="R197" i="53033" s="1"/>
  <c r="N197" i="53033"/>
  <c r="M197" i="53033"/>
  <c r="Q196" i="53033"/>
  <c r="R196" i="53033" s="1"/>
  <c r="N196" i="53033"/>
  <c r="M196" i="53033"/>
  <c r="Q195" i="53033"/>
  <c r="R195" i="53033" s="1"/>
  <c r="N195" i="53033"/>
  <c r="M195" i="53033"/>
  <c r="Q194" i="53033"/>
  <c r="R194" i="53033" s="1"/>
  <c r="N194" i="53033"/>
  <c r="M194" i="53033"/>
  <c r="Q193" i="53033"/>
  <c r="R193" i="53033" s="1"/>
  <c r="N193" i="53033"/>
  <c r="M193" i="53033"/>
  <c r="Q192" i="53033"/>
  <c r="R192" i="53033" s="1"/>
  <c r="N192" i="53033"/>
  <c r="M192" i="53033"/>
  <c r="Q191" i="53033"/>
  <c r="R191" i="53033" s="1"/>
  <c r="N191" i="53033"/>
  <c r="M191" i="53033"/>
  <c r="Q190" i="53033"/>
  <c r="R190" i="53033" s="1"/>
  <c r="N190" i="53033"/>
  <c r="M190" i="53033"/>
  <c r="Q189" i="53033"/>
  <c r="R189" i="53033" s="1"/>
  <c r="N189" i="53033"/>
  <c r="M189" i="53033"/>
  <c r="Q188" i="53033"/>
  <c r="R188" i="53033" s="1"/>
  <c r="N188" i="53033"/>
  <c r="M188" i="53033"/>
  <c r="Q187" i="53033"/>
  <c r="R187" i="53033" s="1"/>
  <c r="N187" i="53033"/>
  <c r="M187" i="53033"/>
  <c r="Q186" i="53033"/>
  <c r="R186" i="53033" s="1"/>
  <c r="N186" i="53033"/>
  <c r="M186" i="53033"/>
  <c r="Q185" i="53033"/>
  <c r="R185" i="53033" s="1"/>
  <c r="N185" i="53033"/>
  <c r="M185" i="53033"/>
  <c r="Q184" i="53033"/>
  <c r="R184" i="53033" s="1"/>
  <c r="N184" i="53033"/>
  <c r="M184" i="53033"/>
  <c r="Q183" i="53033"/>
  <c r="R183" i="53033" s="1"/>
  <c r="N183" i="53033"/>
  <c r="M183" i="53033"/>
  <c r="Q182" i="53033"/>
  <c r="R182" i="53033" s="1"/>
  <c r="N182" i="53033"/>
  <c r="M182" i="53033"/>
  <c r="Q181" i="53033"/>
  <c r="R181" i="53033" s="1"/>
  <c r="N181" i="53033"/>
  <c r="M181" i="53033"/>
  <c r="Q180" i="53033"/>
  <c r="R180" i="53033" s="1"/>
  <c r="N180" i="53033"/>
  <c r="M180" i="53033"/>
  <c r="Q179" i="53033"/>
  <c r="R179" i="53033" s="1"/>
  <c r="N179" i="53033"/>
  <c r="M179" i="53033"/>
  <c r="Q178" i="53033"/>
  <c r="R178" i="53033" s="1"/>
  <c r="N178" i="53033"/>
  <c r="M178" i="53033"/>
  <c r="Q177" i="53033"/>
  <c r="R177" i="53033" s="1"/>
  <c r="N177" i="53033"/>
  <c r="M177" i="53033"/>
  <c r="Q176" i="53033"/>
  <c r="R176" i="53033" s="1"/>
  <c r="N176" i="53033"/>
  <c r="M176" i="53033"/>
  <c r="Q175" i="53033"/>
  <c r="R175" i="53033" s="1"/>
  <c r="N175" i="53033"/>
  <c r="M175" i="53033"/>
  <c r="Q174" i="53033"/>
  <c r="R174" i="53033" s="1"/>
  <c r="N174" i="53033"/>
  <c r="M174" i="53033"/>
  <c r="Q173" i="53033"/>
  <c r="R173" i="53033" s="1"/>
  <c r="N173" i="53033"/>
  <c r="M173" i="53033"/>
  <c r="Q172" i="53033"/>
  <c r="R172" i="53033" s="1"/>
  <c r="N172" i="53033"/>
  <c r="M172" i="53033"/>
  <c r="Q171" i="53033"/>
  <c r="R171" i="53033" s="1"/>
  <c r="N171" i="53033"/>
  <c r="M171" i="53033"/>
  <c r="Q170" i="53033"/>
  <c r="R170" i="53033" s="1"/>
  <c r="N170" i="53033"/>
  <c r="M170" i="53033"/>
  <c r="Q169" i="53033"/>
  <c r="R169" i="53033" s="1"/>
  <c r="N169" i="53033"/>
  <c r="M169" i="53033"/>
  <c r="Q168" i="53033"/>
  <c r="R168" i="53033" s="1"/>
  <c r="N168" i="53033"/>
  <c r="M168" i="53033"/>
  <c r="Q167" i="53033"/>
  <c r="R167" i="53033" s="1"/>
  <c r="N167" i="53033"/>
  <c r="M167" i="53033"/>
  <c r="Q166" i="53033"/>
  <c r="R166" i="53033" s="1"/>
  <c r="N166" i="53033"/>
  <c r="M166" i="53033"/>
  <c r="Q165" i="53033"/>
  <c r="R165" i="53033" s="1"/>
  <c r="N165" i="53033"/>
  <c r="M165" i="53033"/>
  <c r="Q164" i="53033"/>
  <c r="R164" i="53033" s="1"/>
  <c r="N164" i="53033"/>
  <c r="M164" i="53033"/>
  <c r="Q163" i="53033"/>
  <c r="R163" i="53033" s="1"/>
  <c r="N163" i="53033"/>
  <c r="M163" i="53033"/>
  <c r="Q162" i="53033"/>
  <c r="R162" i="53033" s="1"/>
  <c r="N162" i="53033"/>
  <c r="M162" i="53033"/>
  <c r="Q161" i="53033"/>
  <c r="R161" i="53033" s="1"/>
  <c r="N161" i="53033"/>
  <c r="M161" i="53033"/>
  <c r="Q160" i="53033"/>
  <c r="R160" i="53033" s="1"/>
  <c r="N160" i="53033"/>
  <c r="M160" i="53033"/>
  <c r="Q159" i="53033"/>
  <c r="R159" i="53033" s="1"/>
  <c r="N159" i="53033"/>
  <c r="M159" i="53033"/>
  <c r="Q158" i="53033"/>
  <c r="R158" i="53033" s="1"/>
  <c r="N158" i="53033"/>
  <c r="M158" i="53033"/>
  <c r="Q157" i="53033"/>
  <c r="R157" i="53033" s="1"/>
  <c r="N157" i="53033"/>
  <c r="M157" i="53033"/>
  <c r="Q156" i="53033"/>
  <c r="R156" i="53033" s="1"/>
  <c r="N156" i="53033"/>
  <c r="M156" i="53033"/>
  <c r="Q155" i="53033"/>
  <c r="R155" i="53033" s="1"/>
  <c r="N155" i="53033"/>
  <c r="M155" i="53033"/>
  <c r="Q154" i="53033"/>
  <c r="R154" i="53033" s="1"/>
  <c r="N154" i="53033"/>
  <c r="M154" i="53033"/>
  <c r="Q153" i="53033"/>
  <c r="R153" i="53033" s="1"/>
  <c r="N153" i="53033"/>
  <c r="M153" i="53033"/>
  <c r="Q152" i="53033"/>
  <c r="R152" i="53033" s="1"/>
  <c r="N152" i="53033"/>
  <c r="M152" i="53033"/>
  <c r="Q151" i="53033"/>
  <c r="R151" i="53033" s="1"/>
  <c r="N151" i="53033"/>
  <c r="M151" i="53033"/>
  <c r="Q150" i="53033"/>
  <c r="R150" i="53033" s="1"/>
  <c r="N150" i="53033"/>
  <c r="M150" i="53033"/>
  <c r="Q149" i="53033"/>
  <c r="R149" i="53033" s="1"/>
  <c r="N149" i="53033"/>
  <c r="M149" i="53033"/>
  <c r="Q148" i="53033"/>
  <c r="R148" i="53033" s="1"/>
  <c r="N148" i="53033"/>
  <c r="M148" i="53033"/>
  <c r="Q147" i="53033"/>
  <c r="R147" i="53033" s="1"/>
  <c r="N147" i="53033"/>
  <c r="M147" i="53033"/>
  <c r="Q146" i="53033"/>
  <c r="R146" i="53033" s="1"/>
  <c r="N146" i="53033"/>
  <c r="M146" i="53033"/>
  <c r="Q145" i="53033"/>
  <c r="R145" i="53033" s="1"/>
  <c r="N145" i="53033"/>
  <c r="M145" i="53033"/>
  <c r="Q144" i="53033"/>
  <c r="R144" i="53033" s="1"/>
  <c r="N144" i="53033"/>
  <c r="M144" i="53033"/>
  <c r="Q143" i="53033"/>
  <c r="R143" i="53033" s="1"/>
  <c r="N143" i="53033"/>
  <c r="M143" i="53033"/>
  <c r="Q142" i="53033"/>
  <c r="R142" i="53033" s="1"/>
  <c r="N142" i="53033"/>
  <c r="M142" i="53033"/>
  <c r="Q141" i="53033"/>
  <c r="R141" i="53033" s="1"/>
  <c r="N141" i="53033"/>
  <c r="M141" i="53033"/>
  <c r="Q140" i="53033"/>
  <c r="R140" i="53033" s="1"/>
  <c r="N140" i="53033"/>
  <c r="M140" i="53033"/>
  <c r="Q139" i="53033"/>
  <c r="R139" i="53033" s="1"/>
  <c r="N139" i="53033"/>
  <c r="M139" i="53033"/>
  <c r="Q138" i="53033"/>
  <c r="R138" i="53033" s="1"/>
  <c r="N138" i="53033"/>
  <c r="M138" i="53033"/>
  <c r="Q137" i="53033"/>
  <c r="R137" i="53033" s="1"/>
  <c r="N137" i="53033"/>
  <c r="M137" i="53033"/>
  <c r="Q136" i="53033"/>
  <c r="R136" i="53033" s="1"/>
  <c r="N136" i="53033"/>
  <c r="M136" i="53033"/>
  <c r="Q135" i="53033"/>
  <c r="R135" i="53033" s="1"/>
  <c r="N135" i="53033"/>
  <c r="M135" i="53033"/>
  <c r="Q134" i="53033"/>
  <c r="R134" i="53033" s="1"/>
  <c r="N134" i="53033"/>
  <c r="M134" i="53033"/>
  <c r="Q133" i="53033"/>
  <c r="R133" i="53033" s="1"/>
  <c r="N133" i="53033"/>
  <c r="M133" i="53033"/>
  <c r="Q132" i="53033"/>
  <c r="R132" i="53033" s="1"/>
  <c r="N132" i="53033"/>
  <c r="M132" i="53033"/>
  <c r="Q131" i="53033"/>
  <c r="R131" i="53033" s="1"/>
  <c r="N131" i="53033"/>
  <c r="M131" i="53033"/>
  <c r="Q130" i="53033"/>
  <c r="R130" i="53033" s="1"/>
  <c r="N130" i="53033"/>
  <c r="M130" i="53033"/>
  <c r="Q129" i="53033"/>
  <c r="R129" i="53033" s="1"/>
  <c r="N129" i="53033"/>
  <c r="M129" i="53033"/>
  <c r="Q128" i="53033"/>
  <c r="R128" i="53033" s="1"/>
  <c r="N128" i="53033"/>
  <c r="M128" i="53033"/>
  <c r="Q127" i="53033"/>
  <c r="R127" i="53033" s="1"/>
  <c r="N127" i="53033"/>
  <c r="M127" i="53033"/>
  <c r="Q126" i="53033"/>
  <c r="R126" i="53033" s="1"/>
  <c r="N126" i="53033"/>
  <c r="M126" i="53033"/>
  <c r="Q125" i="53033"/>
  <c r="R125" i="53033" s="1"/>
  <c r="N125" i="53033"/>
  <c r="M125" i="53033"/>
  <c r="Q124" i="53033"/>
  <c r="R124" i="53033" s="1"/>
  <c r="N124" i="53033"/>
  <c r="M124" i="53033"/>
  <c r="Q123" i="53033"/>
  <c r="R123" i="53033" s="1"/>
  <c r="N123" i="53033"/>
  <c r="M123" i="53033"/>
  <c r="Q122" i="53033"/>
  <c r="R122" i="53033" s="1"/>
  <c r="N122" i="53033"/>
  <c r="M122" i="53033"/>
  <c r="Q121" i="53033"/>
  <c r="R121" i="53033" s="1"/>
  <c r="N121" i="53033"/>
  <c r="M121" i="53033"/>
  <c r="Q120" i="53033"/>
  <c r="R120" i="53033" s="1"/>
  <c r="N120" i="53033"/>
  <c r="M120" i="53033"/>
  <c r="Q119" i="53033"/>
  <c r="R119" i="53033" s="1"/>
  <c r="N119" i="53033"/>
  <c r="M119" i="53033"/>
  <c r="Q118" i="53033"/>
  <c r="R118" i="53033" s="1"/>
  <c r="N118" i="53033"/>
  <c r="M118" i="53033"/>
  <c r="Q117" i="53033"/>
  <c r="R117" i="53033" s="1"/>
  <c r="N117" i="53033"/>
  <c r="M117" i="53033"/>
  <c r="Q116" i="53033"/>
  <c r="R116" i="53033" s="1"/>
  <c r="N116" i="53033"/>
  <c r="M116" i="53033"/>
  <c r="Q115" i="53033"/>
  <c r="R115" i="53033" s="1"/>
  <c r="N115" i="53033"/>
  <c r="M115" i="53033"/>
  <c r="Q114" i="53033"/>
  <c r="R114" i="53033" s="1"/>
  <c r="N114" i="53033"/>
  <c r="M114" i="53033"/>
  <c r="Q113" i="53033"/>
  <c r="R113" i="53033" s="1"/>
  <c r="N113" i="53033"/>
  <c r="M113" i="53033"/>
  <c r="Q112" i="53033"/>
  <c r="R112" i="53033" s="1"/>
  <c r="N112" i="53033"/>
  <c r="M112" i="53033"/>
  <c r="Q111" i="53033"/>
  <c r="R111" i="53033" s="1"/>
  <c r="N111" i="53033"/>
  <c r="M111" i="53033"/>
  <c r="Q110" i="53033"/>
  <c r="R110" i="53033" s="1"/>
  <c r="N110" i="53033"/>
  <c r="M110" i="53033"/>
  <c r="Q109" i="53033"/>
  <c r="R109" i="53033" s="1"/>
  <c r="N109" i="53033"/>
  <c r="M109" i="53033"/>
  <c r="Q108" i="53033"/>
  <c r="R108" i="53033" s="1"/>
  <c r="N108" i="53033"/>
  <c r="M108" i="53033"/>
  <c r="Q107" i="53033"/>
  <c r="R107" i="53033" s="1"/>
  <c r="N107" i="53033"/>
  <c r="M107" i="53033"/>
  <c r="Q106" i="53033"/>
  <c r="R106" i="53033" s="1"/>
  <c r="N106" i="53033"/>
  <c r="M106" i="53033"/>
  <c r="Q105" i="53033"/>
  <c r="R105" i="53033" s="1"/>
  <c r="N105" i="53033"/>
  <c r="M105" i="53033"/>
  <c r="Q104" i="53033"/>
  <c r="R104" i="53033" s="1"/>
  <c r="N104" i="53033"/>
  <c r="M104" i="53033"/>
  <c r="Q103" i="53033"/>
  <c r="R103" i="53033" s="1"/>
  <c r="N103" i="53033"/>
  <c r="M103" i="53033"/>
  <c r="Q102" i="53033"/>
  <c r="R102" i="53033" s="1"/>
  <c r="N102" i="53033"/>
  <c r="M102" i="53033"/>
  <c r="Q101" i="53033"/>
  <c r="R101" i="53033" s="1"/>
  <c r="N101" i="53033"/>
  <c r="M101" i="53033"/>
  <c r="Q100" i="53033"/>
  <c r="R100" i="53033" s="1"/>
  <c r="N100" i="53033"/>
  <c r="M100" i="53033"/>
  <c r="Q99" i="53033"/>
  <c r="R99" i="53033" s="1"/>
  <c r="N99" i="53033"/>
  <c r="M99" i="53033"/>
  <c r="Q98" i="53033"/>
  <c r="R98" i="53033" s="1"/>
  <c r="N98" i="53033"/>
  <c r="M98" i="53033"/>
  <c r="Q97" i="53033"/>
  <c r="R97" i="53033" s="1"/>
  <c r="N97" i="53033"/>
  <c r="M97" i="53033"/>
  <c r="Q96" i="53033"/>
  <c r="R96" i="53033" s="1"/>
  <c r="N96" i="53033"/>
  <c r="M96" i="53033"/>
  <c r="Q95" i="53033"/>
  <c r="R95" i="53033" s="1"/>
  <c r="N95" i="53033"/>
  <c r="M95" i="53033"/>
  <c r="Q94" i="53033"/>
  <c r="R94" i="53033" s="1"/>
  <c r="N94" i="53033"/>
  <c r="M94" i="53033"/>
  <c r="Q93" i="53033"/>
  <c r="R93" i="53033" s="1"/>
  <c r="N93" i="53033"/>
  <c r="M93" i="53033"/>
  <c r="Q92" i="53033"/>
  <c r="R92" i="53033" s="1"/>
  <c r="N92" i="53033"/>
  <c r="M92" i="53033"/>
  <c r="Q91" i="53033"/>
  <c r="R91" i="53033" s="1"/>
  <c r="N91" i="53033"/>
  <c r="M91" i="53033"/>
  <c r="Q90" i="53033"/>
  <c r="R90" i="53033" s="1"/>
  <c r="N90" i="53033"/>
  <c r="M90" i="53033"/>
  <c r="Q89" i="53033"/>
  <c r="R89" i="53033" s="1"/>
  <c r="N89" i="53033"/>
  <c r="M89" i="53033"/>
  <c r="Q88" i="53033"/>
  <c r="R88" i="53033" s="1"/>
  <c r="N88" i="53033"/>
  <c r="M88" i="53033"/>
  <c r="Q87" i="53033"/>
  <c r="R87" i="53033" s="1"/>
  <c r="N87" i="53033"/>
  <c r="M87" i="53033"/>
  <c r="Q86" i="53033"/>
  <c r="R86" i="53033" s="1"/>
  <c r="N86" i="53033"/>
  <c r="M86" i="53033"/>
  <c r="Q85" i="53033"/>
  <c r="R85" i="53033" s="1"/>
  <c r="N85" i="53033"/>
  <c r="M85" i="53033"/>
  <c r="Q84" i="53033"/>
  <c r="R84" i="53033" s="1"/>
  <c r="N84" i="53033"/>
  <c r="M84" i="53033"/>
  <c r="Q83" i="53033"/>
  <c r="R83" i="53033" s="1"/>
  <c r="N83" i="53033"/>
  <c r="M83" i="53033"/>
  <c r="Q82" i="53033"/>
  <c r="R82" i="53033" s="1"/>
  <c r="N82" i="53033"/>
  <c r="M82" i="53033"/>
  <c r="Q81" i="53033"/>
  <c r="R81" i="53033" s="1"/>
  <c r="N81" i="53033"/>
  <c r="M81" i="53033"/>
  <c r="Q80" i="53033"/>
  <c r="R80" i="53033" s="1"/>
  <c r="N80" i="53033"/>
  <c r="M80" i="53033"/>
  <c r="Q79" i="53033"/>
  <c r="R79" i="53033" s="1"/>
  <c r="N79" i="53033"/>
  <c r="M79" i="53033"/>
  <c r="Q78" i="53033"/>
  <c r="R78" i="53033" s="1"/>
  <c r="N78" i="53033"/>
  <c r="M78" i="53033"/>
  <c r="Q77" i="53033"/>
  <c r="R77" i="53033" s="1"/>
  <c r="N77" i="53033"/>
  <c r="M77" i="53033"/>
  <c r="Q76" i="53033"/>
  <c r="R76" i="53033" s="1"/>
  <c r="N76" i="53033"/>
  <c r="M76" i="53033"/>
  <c r="Q75" i="53033"/>
  <c r="R75" i="53033" s="1"/>
  <c r="N75" i="53033"/>
  <c r="M75" i="53033"/>
  <c r="Q74" i="53033"/>
  <c r="R74" i="53033" s="1"/>
  <c r="N74" i="53033"/>
  <c r="M74" i="53033"/>
  <c r="Q73" i="53033"/>
  <c r="R73" i="53033" s="1"/>
  <c r="N73" i="53033"/>
  <c r="M73" i="53033"/>
  <c r="Q72" i="53033"/>
  <c r="R72" i="53033" s="1"/>
  <c r="N72" i="53033"/>
  <c r="M72" i="53033"/>
  <c r="Q71" i="53033"/>
  <c r="R71" i="53033" s="1"/>
  <c r="N71" i="53033"/>
  <c r="M71" i="53033"/>
  <c r="Q70" i="53033"/>
  <c r="R70" i="53033" s="1"/>
  <c r="N70" i="53033"/>
  <c r="M70" i="53033"/>
  <c r="Q69" i="53033"/>
  <c r="R69" i="53033" s="1"/>
  <c r="N69" i="53033"/>
  <c r="M69" i="53033"/>
  <c r="Q68" i="53033"/>
  <c r="R68" i="53033" s="1"/>
  <c r="N68" i="53033"/>
  <c r="M68" i="53033"/>
  <c r="Q67" i="53033"/>
  <c r="R67" i="53033" s="1"/>
  <c r="N67" i="53033"/>
  <c r="M67" i="53033"/>
  <c r="Q66" i="53033"/>
  <c r="R66" i="53033" s="1"/>
  <c r="N66" i="53033"/>
  <c r="M66" i="53033"/>
  <c r="Q65" i="53033"/>
  <c r="R65" i="53033" s="1"/>
  <c r="N65" i="53033"/>
  <c r="M65" i="53033"/>
  <c r="Q64" i="53033"/>
  <c r="R64" i="53033" s="1"/>
  <c r="N64" i="53033"/>
  <c r="M64" i="53033"/>
  <c r="Q63" i="53033"/>
  <c r="R63" i="53033" s="1"/>
  <c r="N63" i="53033"/>
  <c r="M63" i="53033"/>
  <c r="Q62" i="53033"/>
  <c r="R62" i="53033" s="1"/>
  <c r="N62" i="53033"/>
  <c r="M62" i="53033"/>
  <c r="Q61" i="53033"/>
  <c r="R61" i="53033" s="1"/>
  <c r="N61" i="53033"/>
  <c r="M61" i="53033"/>
  <c r="Q60" i="53033"/>
  <c r="R60" i="53033" s="1"/>
  <c r="N60" i="53033"/>
  <c r="M60" i="53033"/>
  <c r="Q59" i="53033"/>
  <c r="R59" i="53033" s="1"/>
  <c r="N59" i="53033"/>
  <c r="M59" i="53033"/>
  <c r="Q58" i="53033"/>
  <c r="R58" i="53033" s="1"/>
  <c r="N58" i="53033"/>
  <c r="M58" i="53033"/>
  <c r="Q57" i="53033"/>
  <c r="R57" i="53033" s="1"/>
  <c r="N57" i="53033"/>
  <c r="M57" i="53033"/>
  <c r="Q56" i="53033"/>
  <c r="R56" i="53033" s="1"/>
  <c r="N56" i="53033"/>
  <c r="M56" i="53033"/>
  <c r="Q55" i="53033"/>
  <c r="R55" i="53033" s="1"/>
  <c r="N55" i="53033"/>
  <c r="M55" i="53033"/>
  <c r="Q54" i="53033"/>
  <c r="R54" i="53033" s="1"/>
  <c r="N54" i="53033"/>
  <c r="M54" i="53033"/>
  <c r="Q53" i="53033"/>
  <c r="R53" i="53033" s="1"/>
  <c r="N53" i="53033"/>
  <c r="M53" i="53033"/>
  <c r="Q52" i="53033"/>
  <c r="R52" i="53033" s="1"/>
  <c r="N52" i="53033"/>
  <c r="M52" i="53033"/>
  <c r="Q51" i="53033"/>
  <c r="R51" i="53033" s="1"/>
  <c r="N51" i="53033"/>
  <c r="M51" i="53033"/>
  <c r="Q50" i="53033"/>
  <c r="R50" i="53033" s="1"/>
  <c r="N50" i="53033"/>
  <c r="M50" i="53033"/>
  <c r="Q49" i="53033"/>
  <c r="R49" i="53033" s="1"/>
  <c r="N49" i="53033"/>
  <c r="M49" i="53033"/>
  <c r="Q48" i="53033"/>
  <c r="R48" i="53033" s="1"/>
  <c r="N48" i="53033"/>
  <c r="M48" i="53033"/>
  <c r="Q47" i="53033"/>
  <c r="R47" i="53033" s="1"/>
  <c r="N47" i="53033"/>
  <c r="M47" i="53033"/>
  <c r="Q46" i="53033"/>
  <c r="R46" i="53033" s="1"/>
  <c r="N46" i="53033"/>
  <c r="M46" i="53033"/>
  <c r="Q45" i="53033"/>
  <c r="R45" i="53033" s="1"/>
  <c r="N45" i="53033"/>
  <c r="M45" i="53033"/>
  <c r="Q44" i="53033"/>
  <c r="R44" i="53033" s="1"/>
  <c r="N44" i="53033"/>
  <c r="M44" i="53033"/>
  <c r="Q43" i="53033"/>
  <c r="R43" i="53033" s="1"/>
  <c r="N43" i="53033"/>
  <c r="M43" i="53033"/>
  <c r="Q42" i="53033"/>
  <c r="R42" i="53033" s="1"/>
  <c r="N42" i="53033"/>
  <c r="M42" i="53033"/>
  <c r="Q41" i="53033"/>
  <c r="R41" i="53033" s="1"/>
  <c r="N41" i="53033"/>
  <c r="M41" i="53033"/>
  <c r="Q40" i="53033"/>
  <c r="R40" i="53033" s="1"/>
  <c r="N40" i="53033"/>
  <c r="M40" i="53033"/>
  <c r="Q39" i="53033"/>
  <c r="R39" i="53033" s="1"/>
  <c r="N39" i="53033"/>
  <c r="M39" i="53033"/>
  <c r="Q38" i="53033"/>
  <c r="R38" i="53033" s="1"/>
  <c r="N38" i="53033"/>
  <c r="M38" i="53033"/>
  <c r="Q37" i="53033"/>
  <c r="R37" i="53033" s="1"/>
  <c r="N37" i="53033"/>
  <c r="M37" i="53033"/>
  <c r="Q36" i="53033"/>
  <c r="R36" i="53033" s="1"/>
  <c r="N36" i="53033"/>
  <c r="M36" i="53033"/>
  <c r="Q35" i="53033"/>
  <c r="R35" i="53033" s="1"/>
  <c r="N35" i="53033"/>
  <c r="M35" i="53033"/>
  <c r="Q34" i="53033"/>
  <c r="R34" i="53033" s="1"/>
  <c r="N34" i="53033"/>
  <c r="M34" i="53033"/>
  <c r="Q33" i="53033"/>
  <c r="R33" i="53033" s="1"/>
  <c r="N33" i="53033"/>
  <c r="M33" i="53033"/>
  <c r="Q32" i="53033"/>
  <c r="R32" i="53033" s="1"/>
  <c r="N32" i="53033"/>
  <c r="M32" i="53033"/>
  <c r="Q31" i="53033"/>
  <c r="R31" i="53033" s="1"/>
  <c r="N31" i="53033"/>
  <c r="M31" i="53033"/>
  <c r="Q30" i="53033"/>
  <c r="R30" i="53033" s="1"/>
  <c r="N30" i="53033"/>
  <c r="M30" i="53033"/>
  <c r="Q29" i="53033"/>
  <c r="R29" i="53033" s="1"/>
  <c r="N29" i="53033"/>
  <c r="M29" i="53033"/>
  <c r="Q28" i="53033"/>
  <c r="R28" i="53033" s="1"/>
  <c r="N28" i="53033"/>
  <c r="M28" i="53033"/>
  <c r="Q27" i="53033"/>
  <c r="R27" i="53033" s="1"/>
  <c r="N27" i="53033"/>
  <c r="M27" i="53033"/>
  <c r="Q26" i="53033"/>
  <c r="R26" i="53033" s="1"/>
  <c r="N26" i="53033"/>
  <c r="M26" i="53033"/>
  <c r="Q25" i="53033"/>
  <c r="R25" i="53033" s="1"/>
  <c r="N25" i="53033"/>
  <c r="M25" i="53033"/>
  <c r="Q24" i="53033"/>
  <c r="R24" i="53033" s="1"/>
  <c r="N24" i="53033"/>
  <c r="M24" i="53033"/>
  <c r="Q23" i="53033"/>
  <c r="R23" i="53033" s="1"/>
  <c r="N23" i="53033"/>
  <c r="M23" i="53033"/>
  <c r="Q22" i="53033"/>
  <c r="R22" i="53033" s="1"/>
  <c r="N22" i="53033"/>
  <c r="M22" i="53033"/>
  <c r="Q21" i="53033"/>
  <c r="R21" i="53033" s="1"/>
  <c r="N21" i="53033"/>
  <c r="M21" i="53033"/>
  <c r="Q20" i="53033"/>
  <c r="R20" i="53033" s="1"/>
  <c r="N20" i="53033"/>
  <c r="M20" i="53033"/>
  <c r="Q19" i="53033"/>
  <c r="R19" i="53033" s="1"/>
  <c r="N19" i="53033"/>
  <c r="M19" i="53033"/>
  <c r="Q18" i="53033"/>
  <c r="R18" i="53033" s="1"/>
  <c r="N18" i="53033"/>
  <c r="M18" i="53033"/>
  <c r="Q17" i="53033"/>
  <c r="R17" i="53033" s="1"/>
  <c r="N17" i="53033"/>
  <c r="M17" i="53033"/>
  <c r="Q16" i="53033"/>
  <c r="R16" i="53033" s="1"/>
  <c r="N16" i="53033"/>
  <c r="M16" i="53033"/>
  <c r="Q15" i="53033"/>
  <c r="R15" i="53033" s="1"/>
  <c r="N15" i="53033"/>
  <c r="M15" i="53033"/>
  <c r="Q14" i="53033"/>
  <c r="R14" i="53033" s="1"/>
  <c r="N14" i="53033"/>
  <c r="M14" i="53033"/>
  <c r="Q13" i="53033"/>
  <c r="R13" i="53033" s="1"/>
  <c r="N13" i="53033"/>
  <c r="M13" i="53033"/>
  <c r="Q12" i="53033"/>
  <c r="R12" i="53033" s="1"/>
  <c r="N12" i="53033"/>
  <c r="M12" i="53033"/>
  <c r="Q11" i="53033"/>
  <c r="R11" i="53033" s="1"/>
  <c r="N11" i="53033"/>
  <c r="M11" i="53033"/>
  <c r="Q10" i="53033"/>
  <c r="R10" i="53033" s="1"/>
  <c r="N10" i="53033"/>
  <c r="M10" i="53033"/>
  <c r="Q9" i="53033"/>
  <c r="R9" i="53033" s="1"/>
  <c r="N9" i="53033"/>
  <c r="M9" i="53033"/>
  <c r="Q8" i="53033"/>
  <c r="R8" i="53033" s="1"/>
  <c r="N8" i="53033"/>
  <c r="M8" i="53033"/>
  <c r="Q7" i="53033"/>
  <c r="R7" i="53033" s="1"/>
  <c r="N7" i="53033"/>
  <c r="M7" i="53033"/>
  <c r="Q6" i="53033"/>
  <c r="R6" i="53033" s="1"/>
  <c r="N6" i="53033"/>
  <c r="M6" i="53033"/>
  <c r="Q5" i="53033"/>
  <c r="R5" i="53033" s="1"/>
  <c r="N5" i="53033"/>
  <c r="M5" i="53033"/>
  <c r="Q4" i="53033"/>
  <c r="R4" i="53033" s="1"/>
  <c r="N4" i="53033"/>
  <c r="M4" i="53033"/>
  <c r="Q3" i="53033"/>
  <c r="R3" i="53033" s="1"/>
  <c r="N3" i="53033"/>
  <c r="M3" i="53033"/>
  <c r="Q2" i="53033"/>
  <c r="R2" i="53033" s="1"/>
  <c r="N2" i="53033"/>
  <c r="M2" i="53033"/>
  <c r="U4" i="53029"/>
  <c r="V4" i="53029"/>
  <c r="U5" i="53029"/>
  <c r="V5" i="53029"/>
  <c r="U6" i="53029"/>
  <c r="V6" i="53029"/>
  <c r="U7" i="53029"/>
  <c r="V7" i="53029"/>
  <c r="U8" i="53029"/>
  <c r="V8" i="53029"/>
  <c r="U9" i="53029"/>
  <c r="V9" i="53029"/>
  <c r="U10" i="53029"/>
  <c r="V10" i="53029"/>
  <c r="U11" i="53029"/>
  <c r="V11" i="53029"/>
  <c r="U12" i="53029"/>
  <c r="V12" i="53029"/>
  <c r="U13" i="53029"/>
  <c r="V13" i="53029"/>
  <c r="U14" i="53029"/>
  <c r="V14" i="53029"/>
  <c r="U15" i="53029"/>
  <c r="V15" i="53029"/>
  <c r="U16" i="53029"/>
  <c r="V16" i="53029"/>
  <c r="U17" i="53029"/>
  <c r="V17" i="53029"/>
  <c r="U18" i="53029"/>
  <c r="V18" i="53029"/>
  <c r="U19" i="53029"/>
  <c r="V19" i="53029"/>
  <c r="U20" i="53029"/>
  <c r="V20" i="53029"/>
  <c r="U21" i="53029"/>
  <c r="V21" i="53029"/>
  <c r="U22" i="53029"/>
  <c r="V22" i="53029"/>
  <c r="U23" i="53029"/>
  <c r="V23" i="53029"/>
  <c r="U24" i="53029"/>
  <c r="V24" i="53029"/>
  <c r="U25" i="53029"/>
  <c r="V25" i="53029"/>
  <c r="U26" i="53029"/>
  <c r="V26" i="53029"/>
  <c r="U27" i="53029"/>
  <c r="V27" i="53029"/>
  <c r="U28" i="53029"/>
  <c r="V28" i="53029"/>
  <c r="U29" i="53029"/>
  <c r="V29" i="53029"/>
  <c r="U30" i="53029"/>
  <c r="V30" i="53029"/>
  <c r="U31" i="53029"/>
  <c r="V31" i="53029"/>
  <c r="U32" i="53029"/>
  <c r="V32" i="53029"/>
  <c r="U33" i="53029"/>
  <c r="V33" i="53029"/>
  <c r="U3" i="53029"/>
  <c r="V3" i="53029"/>
  <c r="O23" i="6"/>
  <c r="O27" i="6"/>
  <c r="O22" i="6"/>
  <c r="O24" i="6"/>
  <c r="C18" i="3"/>
  <c r="C19" i="3" s="1"/>
  <c r="B4" i="53029"/>
  <c r="T4" i="53029" s="1"/>
  <c r="B5" i="53029"/>
  <c r="T5" i="53029" s="1"/>
  <c r="B6" i="53029"/>
  <c r="T6" i="53029" s="1"/>
  <c r="B7" i="53029"/>
  <c r="T7" i="53029" s="1"/>
  <c r="B8" i="53029"/>
  <c r="T8" i="53029" s="1"/>
  <c r="B9" i="53029"/>
  <c r="T9" i="53029" s="1"/>
  <c r="B10" i="53029"/>
  <c r="T10" i="53029" s="1"/>
  <c r="B11" i="53029"/>
  <c r="T11" i="53029" s="1"/>
  <c r="B12" i="53029"/>
  <c r="T12" i="53029" s="1"/>
  <c r="B13" i="53029"/>
  <c r="T13" i="53029" s="1"/>
  <c r="B14" i="53029"/>
  <c r="T14" i="53029" s="1"/>
  <c r="B15" i="53029"/>
  <c r="T15" i="53029" s="1"/>
  <c r="B16" i="53029"/>
  <c r="T16" i="53029" s="1"/>
  <c r="B17" i="53029"/>
  <c r="T17" i="53029" s="1"/>
  <c r="B18" i="53029"/>
  <c r="T18" i="53029" s="1"/>
  <c r="B19" i="53029"/>
  <c r="T19" i="53029" s="1"/>
  <c r="B20" i="53029"/>
  <c r="T20" i="53029" s="1"/>
  <c r="B21" i="53029"/>
  <c r="T21" i="53029" s="1"/>
  <c r="B22" i="53029"/>
  <c r="T22" i="53029" s="1"/>
  <c r="B23" i="53029"/>
  <c r="T23" i="53029" s="1"/>
  <c r="B24" i="53029"/>
  <c r="T24" i="53029" s="1"/>
  <c r="B25" i="53029"/>
  <c r="T25" i="53029" s="1"/>
  <c r="B26" i="53029"/>
  <c r="T26" i="53029" s="1"/>
  <c r="B27" i="53029"/>
  <c r="T27" i="53029" s="1"/>
  <c r="B28" i="53029"/>
  <c r="T28" i="53029" s="1"/>
  <c r="B29" i="53029"/>
  <c r="T29" i="53029" s="1"/>
  <c r="B30" i="53029"/>
  <c r="T30" i="53029" s="1"/>
  <c r="B31" i="53029"/>
  <c r="T31" i="53029" s="1"/>
  <c r="B32" i="53029"/>
  <c r="T32" i="53029" s="1"/>
  <c r="B33" i="53029"/>
  <c r="T33" i="53029" s="1"/>
  <c r="B3" i="53029"/>
  <c r="T3" i="53029" s="1"/>
  <c r="X20" i="53029"/>
  <c r="X21" i="53029"/>
  <c r="X23" i="53029"/>
  <c r="X24" i="53029"/>
  <c r="X25" i="53029"/>
  <c r="X19" i="53029"/>
  <c r="X9" i="53029"/>
  <c r="F61" i="53035"/>
  <c r="J39" i="3" s="1"/>
  <c r="F62" i="53035"/>
  <c r="K39" i="3" s="1"/>
  <c r="O21" i="6"/>
  <c r="D63" i="53035"/>
  <c r="E4" i="53035"/>
  <c r="E73" i="53035"/>
  <c r="F73" i="53035" s="1"/>
  <c r="C12" i="53037" s="1"/>
  <c r="E82" i="53035"/>
  <c r="E85" i="53035"/>
  <c r="E45" i="53035"/>
  <c r="F45" i="53035" s="1"/>
  <c r="C41" i="3" s="1"/>
  <c r="E26" i="53035"/>
  <c r="E6" i="53035"/>
  <c r="F6" i="53035" s="1"/>
  <c r="D9" i="53036" s="1"/>
  <c r="E57" i="53035"/>
  <c r="E90" i="53035"/>
  <c r="E78" i="53035"/>
  <c r="E33" i="53035"/>
  <c r="F78" i="53035" l="1"/>
  <c r="F85" i="53035"/>
  <c r="F82" i="53035"/>
  <c r="C33" i="53038" s="1"/>
  <c r="F26" i="53035"/>
  <c r="C4" i="3" s="1"/>
  <c r="F34" i="53035"/>
  <c r="D20" i="3" s="1"/>
  <c r="F57" i="53035"/>
  <c r="K6" i="3" s="1"/>
  <c r="F33" i="53035"/>
  <c r="D19" i="3" s="1"/>
  <c r="G20" i="6"/>
  <c r="E35" i="53035"/>
  <c r="F35" i="53035" s="1"/>
  <c r="D21" i="3" s="1"/>
  <c r="E50" i="53035"/>
  <c r="F50" i="53035" s="1"/>
  <c r="G29" i="3" s="1"/>
  <c r="E70" i="53035"/>
  <c r="F70" i="53035" s="1"/>
  <c r="C8" i="53037" s="1"/>
  <c r="E49" i="53035"/>
  <c r="F49" i="53035" s="1"/>
  <c r="F29" i="3" s="1"/>
  <c r="E37" i="53035"/>
  <c r="F37" i="53035" s="1"/>
  <c r="D24" i="3" s="1"/>
  <c r="E10" i="53035"/>
  <c r="F10" i="53035" s="1"/>
  <c r="E13" i="53035"/>
  <c r="D65" i="53035"/>
  <c r="F65" i="53035" s="1"/>
  <c r="J21" i="3" s="1"/>
  <c r="E83" i="53035"/>
  <c r="F83" i="53035" s="1"/>
  <c r="E48" i="53035"/>
  <c r="F48" i="53035" s="1"/>
  <c r="G23" i="3" s="1"/>
  <c r="E67" i="53035"/>
  <c r="F67" i="53035" s="1"/>
  <c r="C5" i="53037" s="1"/>
  <c r="E11" i="53035"/>
  <c r="F11" i="53035" s="1"/>
  <c r="C30" i="53036" s="1"/>
  <c r="D5" i="53035"/>
  <c r="E24" i="53035"/>
  <c r="F24" i="53035" s="1"/>
  <c r="D53" i="53036" s="1"/>
  <c r="D88" i="53035"/>
  <c r="E22" i="53035"/>
  <c r="F22" i="53035" s="1"/>
  <c r="D51" i="53036" s="1"/>
  <c r="E8" i="53035"/>
  <c r="F8" i="53035" s="1"/>
  <c r="F23" i="53036" s="1"/>
  <c r="E43" i="53035"/>
  <c r="F43" i="53035" s="1"/>
  <c r="D37" i="3" s="1"/>
  <c r="W19" i="53039" s="1"/>
  <c r="E38" i="53035"/>
  <c r="F38" i="53035" s="1"/>
  <c r="D25" i="3" s="1"/>
  <c r="E71" i="53035"/>
  <c r="F71" i="53035" s="1"/>
  <c r="C9" i="53037" s="1"/>
  <c r="E87" i="53035"/>
  <c r="F87" i="53035" s="1"/>
  <c r="E89" i="53035"/>
  <c r="E75" i="53035"/>
  <c r="F75" i="53035" s="1"/>
  <c r="E23" i="53035"/>
  <c r="F23" i="53035" s="1"/>
  <c r="D52" i="53036" s="1"/>
  <c r="E7" i="53035"/>
  <c r="F7" i="53035" s="1"/>
  <c r="F20" i="53036" s="1"/>
  <c r="E9" i="53035"/>
  <c r="F9" i="53035" s="1"/>
  <c r="F26" i="53036" s="1"/>
  <c r="E76" i="53035"/>
  <c r="F76" i="53035" s="1"/>
  <c r="D90" i="53035"/>
  <c r="F90" i="53035" s="1"/>
  <c r="E38" i="53036" s="1"/>
  <c r="E27" i="53035"/>
  <c r="F27" i="53035" s="1"/>
  <c r="C5" i="3" s="1"/>
  <c r="E47" i="53035"/>
  <c r="F47" i="53035" s="1"/>
  <c r="G45" i="3" s="1"/>
  <c r="E64" i="53035"/>
  <c r="F64" i="53035" s="1"/>
  <c r="E56" i="53035"/>
  <c r="F56" i="53035" s="1"/>
  <c r="K4" i="3" s="1"/>
  <c r="E39" i="53035"/>
  <c r="F39" i="53035" s="1"/>
  <c r="C26" i="3" s="1"/>
  <c r="D89" i="53035"/>
  <c r="E31" i="53035"/>
  <c r="F31" i="53035" s="1"/>
  <c r="D17" i="3" s="1"/>
  <c r="E32" i="53035"/>
  <c r="F32" i="53035" s="1"/>
  <c r="D18" i="3" s="1"/>
  <c r="E17" i="53035"/>
  <c r="F17" i="53035" s="1"/>
  <c r="D45" i="53036" s="1"/>
  <c r="E40" i="53035"/>
  <c r="F40" i="53035" s="1"/>
  <c r="D27" i="3" s="1"/>
  <c r="E92" i="53035"/>
  <c r="D93" i="53035"/>
  <c r="E93" i="53035"/>
  <c r="D91" i="53035"/>
  <c r="F91" i="53035" s="1"/>
  <c r="C41" i="53036" s="1"/>
  <c r="D14" i="53035"/>
  <c r="F14" i="53035" s="1"/>
  <c r="D13" i="53035"/>
  <c r="F13" i="53035" s="1"/>
  <c r="F4" i="53035"/>
  <c r="D2" i="53036" s="1"/>
  <c r="C2" i="3" s="1"/>
  <c r="U39" i="3"/>
  <c r="O17" i="3"/>
  <c r="S17" i="3" s="1"/>
  <c r="O24" i="3"/>
  <c r="S24" i="3" s="1"/>
  <c r="V37" i="3"/>
  <c r="W37" i="3"/>
  <c r="N17" i="3"/>
  <c r="U38" i="3"/>
  <c r="T38" i="3" s="1"/>
  <c r="X37" i="3"/>
  <c r="K5" i="53039"/>
  <c r="H6" i="53039"/>
  <c r="P6" i="53039"/>
  <c r="L5" i="53039"/>
  <c r="I6" i="53039"/>
  <c r="Q6" i="53039"/>
  <c r="M5" i="53039"/>
  <c r="J6" i="53039"/>
  <c r="J5" i="53039"/>
  <c r="N5" i="53039"/>
  <c r="K6" i="53039"/>
  <c r="O6" i="53039"/>
  <c r="G5" i="53039"/>
  <c r="O5" i="53039"/>
  <c r="L6" i="53039"/>
  <c r="G6" i="53039"/>
  <c r="H5" i="53039"/>
  <c r="P5" i="53039"/>
  <c r="M6" i="53039"/>
  <c r="I5" i="53039"/>
  <c r="Q5" i="53039"/>
  <c r="N6" i="53039"/>
  <c r="E20" i="6"/>
  <c r="F20" i="6"/>
  <c r="O20" i="6"/>
  <c r="F32" i="53029"/>
  <c r="W32" i="53029" s="1"/>
  <c r="G26" i="53036"/>
  <c r="F53" i="6"/>
  <c r="AN47" i="53039"/>
  <c r="J12" i="3" s="1"/>
  <c r="F4" i="53039"/>
  <c r="F14" i="53036"/>
  <c r="AN31" i="53039"/>
  <c r="F27" i="53029"/>
  <c r="W27" i="53029" s="1"/>
  <c r="F5" i="53029"/>
  <c r="W5" i="53029" s="1"/>
  <c r="L22" i="6"/>
  <c r="L60" i="6" s="1"/>
  <c r="D4" i="3"/>
  <c r="C2" i="53038" s="1"/>
  <c r="L21" i="6"/>
  <c r="AN51" i="53039"/>
  <c r="F52" i="6"/>
  <c r="AN42" i="53039"/>
  <c r="P15" i="3" s="1"/>
  <c r="AN45" i="53039"/>
  <c r="U13" i="3" s="1"/>
  <c r="I24" i="6"/>
  <c r="L51" i="6" s="1"/>
  <c r="F54" i="6"/>
  <c r="AN29" i="53039"/>
  <c r="AN39" i="53039"/>
  <c r="Z16" i="3" s="1"/>
  <c r="I23" i="6"/>
  <c r="L41" i="6" s="1"/>
  <c r="M24" i="6"/>
  <c r="L55" i="6" s="1"/>
  <c r="H22" i="6"/>
  <c r="L56" i="6" s="1"/>
  <c r="AN8" i="53039"/>
  <c r="M23" i="6"/>
  <c r="L45" i="6" s="1"/>
  <c r="J22" i="6"/>
  <c r="L58" i="6" s="1"/>
  <c r="L23" i="6"/>
  <c r="L44" i="6" s="1"/>
  <c r="AN52" i="53039"/>
  <c r="L24" i="6"/>
  <c r="L54" i="6" s="1"/>
  <c r="AN46" i="53039"/>
  <c r="P1" i="3" s="1"/>
  <c r="J23" i="6"/>
  <c r="L42" i="6" s="1"/>
  <c r="AN19" i="53039"/>
  <c r="F51" i="6"/>
  <c r="AN17" i="53039"/>
  <c r="N23" i="6"/>
  <c r="AN18" i="53039"/>
  <c r="AN10" i="53039"/>
  <c r="AN21" i="53039"/>
  <c r="AN43" i="53039"/>
  <c r="M13" i="3" s="1"/>
  <c r="AN15" i="53039"/>
  <c r="I5" i="6"/>
  <c r="F53" i="53036" s="1"/>
  <c r="AN28" i="53039"/>
  <c r="AN53" i="53039"/>
  <c r="AN37" i="53039"/>
  <c r="X15" i="3" s="1"/>
  <c r="AN32" i="53039"/>
  <c r="P16" i="3" s="1"/>
  <c r="F17" i="53039"/>
  <c r="G23" i="53036"/>
  <c r="G32" i="53029"/>
  <c r="X32" i="53029" s="1"/>
  <c r="H23" i="6"/>
  <c r="L40" i="6" s="1"/>
  <c r="AN50" i="53039"/>
  <c r="M21" i="6"/>
  <c r="N22" i="6"/>
  <c r="M22" i="6"/>
  <c r="N24" i="6"/>
  <c r="L61" i="6" s="1"/>
  <c r="AN49" i="53039"/>
  <c r="M15" i="3" s="1"/>
  <c r="H24" i="6"/>
  <c r="L50" i="6" s="1"/>
  <c r="K21" i="6"/>
  <c r="L49" i="6" s="1"/>
  <c r="AN33" i="53039"/>
  <c r="T15" i="3" s="1"/>
  <c r="J21" i="6"/>
  <c r="L48" i="6" s="1"/>
  <c r="AN40" i="53039"/>
  <c r="AA16" i="3" s="1"/>
  <c r="F55" i="6"/>
  <c r="K24" i="6"/>
  <c r="L53" i="6" s="1"/>
  <c r="AN14" i="53039"/>
  <c r="AN34" i="53039"/>
  <c r="U15" i="3" s="1"/>
  <c r="I21" i="6"/>
  <c r="L47" i="6" s="1"/>
  <c r="AN54" i="53039"/>
  <c r="AN20" i="53039"/>
  <c r="AN23" i="53039"/>
  <c r="AN38" i="53039"/>
  <c r="Y16" i="3" s="1"/>
  <c r="F33" i="53029"/>
  <c r="W33" i="53029" s="1"/>
  <c r="F11" i="53039"/>
  <c r="F12" i="53039"/>
  <c r="F19" i="53039"/>
  <c r="K23" i="6"/>
  <c r="L43" i="6" s="1"/>
  <c r="AN12" i="53039"/>
  <c r="AN41" i="53039"/>
  <c r="AB16" i="3" s="1"/>
  <c r="AN11" i="53039"/>
  <c r="AN22" i="53039"/>
  <c r="AN30" i="53039"/>
  <c r="K22" i="6"/>
  <c r="L59" i="6" s="1"/>
  <c r="AN48" i="53039"/>
  <c r="F30" i="53029"/>
  <c r="W30" i="53029" s="1"/>
  <c r="F6" i="53029"/>
  <c r="W6" i="53029" s="1"/>
  <c r="AN16" i="53039"/>
  <c r="AN9" i="53039"/>
  <c r="J24" i="6"/>
  <c r="L52" i="6" s="1"/>
  <c r="F14" i="53039"/>
  <c r="AN44" i="53039"/>
  <c r="R13" i="3" s="1"/>
  <c r="F4" i="6"/>
  <c r="G5" i="6" s="1"/>
  <c r="AN7" i="53039"/>
  <c r="N21" i="6"/>
  <c r="L62" i="6" s="1"/>
  <c r="AN36" i="53039"/>
  <c r="W15" i="3" s="1"/>
  <c r="F18" i="53029"/>
  <c r="W18" i="53029" s="1"/>
  <c r="G31" i="53029"/>
  <c r="X31" i="53029" s="1"/>
  <c r="F18" i="53039"/>
  <c r="AN6" i="53039"/>
  <c r="AN35" i="53039"/>
  <c r="H21" i="6"/>
  <c r="L46" i="6" s="1"/>
  <c r="AN13" i="53039"/>
  <c r="C20" i="3"/>
  <c r="N7" i="53039" s="1"/>
  <c r="W34" i="3"/>
  <c r="X22" i="53029"/>
  <c r="X3" i="53029"/>
  <c r="E77" i="53035"/>
  <c r="F77" i="53035" s="1"/>
  <c r="E68" i="53035"/>
  <c r="F68" i="53035" s="1"/>
  <c r="C6" i="53037" s="1"/>
  <c r="E52" i="53035"/>
  <c r="F52" i="53035" s="1"/>
  <c r="E60" i="53035"/>
  <c r="F60" i="53035" s="1"/>
  <c r="J29" i="3" s="1"/>
  <c r="E18" i="53035"/>
  <c r="F18" i="53035" s="1"/>
  <c r="D47" i="53036" s="1"/>
  <c r="W32" i="3"/>
  <c r="E12" i="53035"/>
  <c r="F12" i="53035" s="1"/>
  <c r="C31" i="53036" s="1"/>
  <c r="E59" i="53035"/>
  <c r="F59" i="53035" s="1"/>
  <c r="K17" i="3" s="1"/>
  <c r="K28" i="3" s="1"/>
  <c r="E46" i="53035"/>
  <c r="F46" i="53035" s="1"/>
  <c r="D45" i="3" s="1"/>
  <c r="E19" i="53035"/>
  <c r="F19" i="53035" s="1"/>
  <c r="D48" i="53036" s="1"/>
  <c r="E25" i="53035"/>
  <c r="F25" i="53035" s="1"/>
  <c r="D54" i="53036" s="1"/>
  <c r="E74" i="53035"/>
  <c r="F74" i="53035" s="1"/>
  <c r="C14" i="53037" s="1"/>
  <c r="W33" i="3"/>
  <c r="E80" i="53035"/>
  <c r="F80" i="53035" s="1"/>
  <c r="C15" i="53038" s="1"/>
  <c r="E79" i="53035"/>
  <c r="F79" i="53035" s="1"/>
  <c r="C6" i="53038" s="1"/>
  <c r="E5" i="53035"/>
  <c r="E58" i="53035"/>
  <c r="F58" i="53035" s="1"/>
  <c r="J17" i="3" s="1"/>
  <c r="E72" i="53035"/>
  <c r="F72" i="53035" s="1"/>
  <c r="C10" i="53037" s="1"/>
  <c r="E30" i="53035"/>
  <c r="F30" i="53035" s="1"/>
  <c r="C16" i="3" s="1"/>
  <c r="W30" i="3"/>
  <c r="E44" i="53035"/>
  <c r="F44" i="53035" s="1"/>
  <c r="C40" i="3" s="1"/>
  <c r="E86" i="53035"/>
  <c r="F86" i="53035" s="1"/>
  <c r="E51" i="53035"/>
  <c r="F51" i="53035" s="1"/>
  <c r="E55" i="53035"/>
  <c r="F55" i="53035" s="1"/>
  <c r="J4" i="3" s="1"/>
  <c r="E36" i="53035"/>
  <c r="F36" i="53035" s="1"/>
  <c r="D22" i="3" s="1"/>
  <c r="E21" i="53035"/>
  <c r="F21" i="53035" s="1"/>
  <c r="D50" i="53036" s="1"/>
  <c r="F18" i="53036"/>
  <c r="J24" i="3"/>
  <c r="K24" i="3" s="1"/>
  <c r="E63" i="53035"/>
  <c r="F63" i="53035" s="1"/>
  <c r="E54" i="53035"/>
  <c r="F54" i="53035" s="1"/>
  <c r="E69" i="53035"/>
  <c r="F69" i="53035" s="1"/>
  <c r="C7" i="53037" s="1"/>
  <c r="E53" i="53035"/>
  <c r="F53" i="53035" s="1"/>
  <c r="D47" i="3" s="1"/>
  <c r="E42" i="53035"/>
  <c r="F42" i="53035" s="1"/>
  <c r="W31" i="3"/>
  <c r="W35" i="3"/>
  <c r="E29" i="53035"/>
  <c r="F29" i="53035" s="1"/>
  <c r="E41" i="53035"/>
  <c r="F41" i="53035" s="1"/>
  <c r="D29" i="3" s="1"/>
  <c r="E16" i="53035"/>
  <c r="F16" i="53035" s="1"/>
  <c r="D44" i="53036" s="1"/>
  <c r="E84" i="53035"/>
  <c r="F84" i="53035" s="1"/>
  <c r="E20" i="53035"/>
  <c r="F20" i="53035" s="1"/>
  <c r="D49" i="53036" s="1"/>
  <c r="M16" i="3"/>
  <c r="M17" i="3" s="1"/>
  <c r="W40" i="3"/>
  <c r="M2" i="53037"/>
  <c r="K2" i="53038"/>
  <c r="B35" i="6"/>
  <c r="J20" i="3"/>
  <c r="J19" i="3"/>
  <c r="O26" i="6"/>
  <c r="O28" i="6" s="1"/>
  <c r="F9" i="53039"/>
  <c r="G29" i="53029"/>
  <c r="X29" i="53029" s="1"/>
  <c r="F21" i="53029"/>
  <c r="W21" i="53029" s="1"/>
  <c r="F23" i="53029"/>
  <c r="W23" i="53029" s="1"/>
  <c r="G28" i="53029"/>
  <c r="X28" i="53029" s="1"/>
  <c r="G33" i="53029"/>
  <c r="X33" i="53029" s="1"/>
  <c r="F16" i="53039"/>
  <c r="F26" i="53029"/>
  <c r="W26" i="53029" s="1"/>
  <c r="F19" i="53029"/>
  <c r="W19" i="53029" s="1"/>
  <c r="F8" i="53039"/>
  <c r="F15" i="53039"/>
  <c r="F3" i="53029"/>
  <c r="W3" i="53029" s="1"/>
  <c r="F4" i="53029"/>
  <c r="W4" i="53029" s="1"/>
  <c r="F17" i="53029"/>
  <c r="W17" i="53029" s="1"/>
  <c r="F31" i="53029"/>
  <c r="W31" i="53029" s="1"/>
  <c r="F16" i="53036"/>
  <c r="G20" i="53036"/>
  <c r="F15" i="53036"/>
  <c r="F28" i="53029"/>
  <c r="W28" i="53029" s="1"/>
  <c r="G30" i="53029"/>
  <c r="X30" i="53029" s="1"/>
  <c r="F14" i="53029"/>
  <c r="W14" i="53029" s="1"/>
  <c r="F7" i="53039"/>
  <c r="F10" i="53039"/>
  <c r="F9" i="53029"/>
  <c r="W9" i="53029" s="1"/>
  <c r="F17" i="53036"/>
  <c r="F25" i="53029"/>
  <c r="W25" i="53029" s="1"/>
  <c r="F6" i="53039"/>
  <c r="F16" i="53029"/>
  <c r="W16" i="53029" s="1"/>
  <c r="F13" i="53039"/>
  <c r="F8" i="53029"/>
  <c r="W8" i="53029" s="1"/>
  <c r="F5" i="53039"/>
  <c r="F22" i="53029"/>
  <c r="W22" i="53029" s="1"/>
  <c r="F13" i="53029"/>
  <c r="W13" i="53029" s="1"/>
  <c r="J18" i="3"/>
  <c r="G18" i="3" s="1"/>
  <c r="F13" i="53036"/>
  <c r="F24" i="53029"/>
  <c r="W24" i="53029" s="1"/>
  <c r="G27" i="53029"/>
  <c r="X27" i="53029" s="1"/>
  <c r="F29" i="53029"/>
  <c r="W29" i="53029" s="1"/>
  <c r="F11" i="53029"/>
  <c r="W11" i="53029" s="1"/>
  <c r="F15" i="53029"/>
  <c r="W15" i="53029" s="1"/>
  <c r="F10" i="53029"/>
  <c r="W10" i="53029" s="1"/>
  <c r="F7" i="53029"/>
  <c r="W7" i="53029" s="1"/>
  <c r="F20" i="53029"/>
  <c r="W20" i="53029" s="1"/>
  <c r="F12" i="53029"/>
  <c r="W12" i="53029" s="1"/>
  <c r="D92" i="53035"/>
  <c r="E81" i="53035"/>
  <c r="F81" i="53035" s="1"/>
  <c r="C24" i="53038" s="1"/>
  <c r="E88" i="53035"/>
  <c r="F92" i="53035" l="1"/>
  <c r="K5" i="3" s="1"/>
  <c r="F89" i="53035"/>
  <c r="E37" i="53036" s="1"/>
  <c r="F5" i="53035"/>
  <c r="D4" i="53036" s="1"/>
  <c r="J28" i="3"/>
  <c r="F88" i="53035"/>
  <c r="D36" i="53036" s="1"/>
  <c r="G4" i="6"/>
  <c r="F93" i="53035"/>
  <c r="C33" i="53036" s="1"/>
  <c r="D34" i="3"/>
  <c r="W16" i="53039" s="1"/>
  <c r="H4" i="53039"/>
  <c r="P17" i="3"/>
  <c r="I4" i="53039" s="1"/>
  <c r="K18" i="3"/>
  <c r="G4" i="53029"/>
  <c r="I4" i="53029" s="1"/>
  <c r="D35" i="3"/>
  <c r="W17" i="53039" s="1"/>
  <c r="B4" i="6"/>
  <c r="D5" i="3" s="1"/>
  <c r="D2" i="53038" s="1"/>
  <c r="G7" i="53039"/>
  <c r="P7" i="53039"/>
  <c r="Q7" i="53039"/>
  <c r="H7" i="53039"/>
  <c r="I7" i="53039"/>
  <c r="L7" i="53039"/>
  <c r="J7" i="53039"/>
  <c r="M7" i="53039"/>
  <c r="G20" i="3"/>
  <c r="K7" i="53039"/>
  <c r="G19" i="3"/>
  <c r="W36" i="3"/>
  <c r="O7" i="53039"/>
  <c r="G4" i="53039"/>
  <c r="C2" i="53037"/>
  <c r="W17" i="3"/>
  <c r="D33" i="3"/>
  <c r="W15" i="53039" s="1"/>
  <c r="D31" i="3"/>
  <c r="W13" i="53039" s="1"/>
  <c r="D32" i="3"/>
  <c r="W14" i="53039" s="1"/>
  <c r="D36" i="3"/>
  <c r="W18" i="53039" s="1"/>
  <c r="D30" i="3"/>
  <c r="C21" i="3"/>
  <c r="L8" i="53039" s="1"/>
  <c r="R17" i="3"/>
  <c r="Q17" i="3" l="1"/>
  <c r="T17" i="3" s="1"/>
  <c r="U17" i="3" s="1"/>
  <c r="J34" i="3"/>
  <c r="F34" i="3" s="1"/>
  <c r="G21" i="3"/>
  <c r="G7" i="53029" s="1"/>
  <c r="I7" i="53029" s="1"/>
  <c r="W12" i="53039"/>
  <c r="G37" i="3"/>
  <c r="G26" i="53029" s="1"/>
  <c r="I26" i="53029" s="1"/>
  <c r="B15" i="53035"/>
  <c r="D15" i="53035"/>
  <c r="K20" i="3"/>
  <c r="G6" i="53029"/>
  <c r="I6" i="53029" s="1"/>
  <c r="G5" i="53029"/>
  <c r="I5" i="53029" s="1"/>
  <c r="K19" i="3"/>
  <c r="J35" i="3"/>
  <c r="F35" i="3" s="1"/>
  <c r="D2" i="53037"/>
  <c r="K8" i="53039"/>
  <c r="M8" i="53039"/>
  <c r="G8" i="53039"/>
  <c r="J8" i="53039"/>
  <c r="I8" i="53039"/>
  <c r="Q8" i="53039"/>
  <c r="N8" i="53039"/>
  <c r="P8" i="53039"/>
  <c r="H8" i="53039"/>
  <c r="O8" i="53039"/>
  <c r="C22" i="3"/>
  <c r="J31" i="3"/>
  <c r="J33" i="3"/>
  <c r="J32" i="3"/>
  <c r="J30" i="3"/>
  <c r="F30" i="3" s="1"/>
  <c r="J36" i="3"/>
  <c r="X4" i="53029"/>
  <c r="G22" i="3" l="1"/>
  <c r="G25" i="3" s="1"/>
  <c r="O25" i="3" s="1"/>
  <c r="S25" i="3" s="1"/>
  <c r="N22" i="3"/>
  <c r="M22" i="3"/>
  <c r="F15" i="53035"/>
  <c r="X26" i="53029"/>
  <c r="K34" i="3"/>
  <c r="U34" i="3" s="1"/>
  <c r="T34" i="3" s="1"/>
  <c r="G15" i="53029"/>
  <c r="I15" i="53029" s="1"/>
  <c r="X5" i="53029"/>
  <c r="K35" i="3"/>
  <c r="U35" i="3" s="1"/>
  <c r="T35" i="3" s="1"/>
  <c r="G16" i="53029"/>
  <c r="I16" i="53029" s="1"/>
  <c r="K30" i="3"/>
  <c r="U30" i="3" s="1"/>
  <c r="G11" i="53029"/>
  <c r="I11" i="53029" s="1"/>
  <c r="X6" i="53029"/>
  <c r="F33" i="3"/>
  <c r="F31" i="3"/>
  <c r="C24" i="3"/>
  <c r="C25" i="3" s="1"/>
  <c r="F36" i="3"/>
  <c r="F32" i="3"/>
  <c r="N4" i="53039"/>
  <c r="O4" i="53039"/>
  <c r="M4" i="53039"/>
  <c r="P4" i="53039"/>
  <c r="J4" i="53039"/>
  <c r="Q4" i="53039"/>
  <c r="K4" i="53039"/>
  <c r="L4" i="53039"/>
  <c r="J37" i="3"/>
  <c r="X7" i="53029"/>
  <c r="G10" i="53029" l="1"/>
  <c r="I10" i="53029" s="1"/>
  <c r="G8" i="53029"/>
  <c r="I8" i="53029" s="1"/>
  <c r="O22" i="3"/>
  <c r="P22" i="3" s="1"/>
  <c r="Q22" i="3" s="1"/>
  <c r="K40" i="3"/>
  <c r="U40" i="3" s="1"/>
  <c r="G9" i="53039"/>
  <c r="G16" i="53039"/>
  <c r="N25" i="3"/>
  <c r="G11" i="53039" s="1"/>
  <c r="M25" i="3"/>
  <c r="N24" i="3"/>
  <c r="G10" i="53039" s="1"/>
  <c r="M24" i="3"/>
  <c r="H16" i="53039"/>
  <c r="F37" i="3"/>
  <c r="Q15" i="53039"/>
  <c r="L15" i="53039"/>
  <c r="M17" i="53039"/>
  <c r="G19" i="53039"/>
  <c r="P17" i="53039"/>
  <c r="M14" i="53039"/>
  <c r="G12" i="53029"/>
  <c r="I12" i="53029" s="1"/>
  <c r="K31" i="3"/>
  <c r="U31" i="3" s="1"/>
  <c r="J15" i="53039"/>
  <c r="I14" i="53039"/>
  <c r="K33" i="3"/>
  <c r="U33" i="3" s="1"/>
  <c r="T33" i="3" s="1"/>
  <c r="G14" i="53029"/>
  <c r="I14" i="53029" s="1"/>
  <c r="M15" i="53039"/>
  <c r="K32" i="3"/>
  <c r="U32" i="3" s="1"/>
  <c r="T32" i="3" s="1"/>
  <c r="G13" i="53029"/>
  <c r="I13" i="53029" s="1"/>
  <c r="K36" i="3"/>
  <c r="U36" i="3" s="1"/>
  <c r="T36" i="3" s="1"/>
  <c r="G17" i="53029"/>
  <c r="I17" i="53029" s="1"/>
  <c r="K17" i="53039"/>
  <c r="G12" i="53039"/>
  <c r="H12" i="53039"/>
  <c r="L14" i="53039"/>
  <c r="N15" i="53039"/>
  <c r="K14" i="53039"/>
  <c r="O17" i="53039"/>
  <c r="N14" i="53039"/>
  <c r="K16" i="53039"/>
  <c r="L16" i="53039"/>
  <c r="H18" i="53039"/>
  <c r="G14" i="53039"/>
  <c r="G17" i="53039"/>
  <c r="N17" i="53039"/>
  <c r="O14" i="53039"/>
  <c r="G13" i="53039"/>
  <c r="I13" i="53039"/>
  <c r="X15" i="53029"/>
  <c r="P15" i="53039"/>
  <c r="Q17" i="53039"/>
  <c r="J14" i="53039"/>
  <c r="G18" i="53039"/>
  <c r="M16" i="53039"/>
  <c r="I18" i="53039"/>
  <c r="K15" i="53039"/>
  <c r="L17" i="53039"/>
  <c r="P14" i="53039"/>
  <c r="I19" i="53039"/>
  <c r="J16" i="53039"/>
  <c r="I16" i="53039"/>
  <c r="I15" i="53039"/>
  <c r="H17" i="53039"/>
  <c r="N16" i="53039"/>
  <c r="H14" i="53039"/>
  <c r="I17" i="53039"/>
  <c r="Q16" i="53039"/>
  <c r="H15" i="53039"/>
  <c r="X16" i="53029"/>
  <c r="O15" i="53039"/>
  <c r="J17" i="53039"/>
  <c r="Q14" i="53039"/>
  <c r="I12" i="53039"/>
  <c r="P16" i="53039"/>
  <c r="H19" i="53039"/>
  <c r="O16" i="53039"/>
  <c r="G15" i="53039"/>
  <c r="H13" i="53039"/>
  <c r="J18" i="53039"/>
  <c r="O18" i="53039"/>
  <c r="L18" i="53039"/>
  <c r="N18" i="53039"/>
  <c r="Q18" i="53039"/>
  <c r="K18" i="53039"/>
  <c r="M18" i="53039"/>
  <c r="P18" i="53039"/>
  <c r="W22" i="3"/>
  <c r="H10" i="53039"/>
  <c r="R22" i="3"/>
  <c r="H11" i="53039"/>
  <c r="X11" i="53029"/>
  <c r="G18" i="53029" l="1"/>
  <c r="I18" i="53029" s="1"/>
  <c r="H36" i="53029" s="1"/>
  <c r="J40" i="3"/>
  <c r="X8" i="53029"/>
  <c r="H9" i="53039"/>
  <c r="K37" i="3"/>
  <c r="U37" i="3" s="1"/>
  <c r="R24" i="3"/>
  <c r="P24" i="3"/>
  <c r="Q24" i="3" s="1"/>
  <c r="R25" i="3"/>
  <c r="P25" i="3"/>
  <c r="Q25" i="3" s="1"/>
  <c r="X17" i="53029"/>
  <c r="X13" i="53029"/>
  <c r="X12" i="53029"/>
  <c r="S22" i="3"/>
  <c r="T22" i="3" s="1"/>
  <c r="X14" i="53029"/>
  <c r="T31" i="3"/>
  <c r="M13" i="53039"/>
  <c r="J13" i="53039"/>
  <c r="O13" i="53039"/>
  <c r="N13" i="53039"/>
  <c r="Q13" i="53039"/>
  <c r="K13" i="53039"/>
  <c r="P13" i="53039"/>
  <c r="L13" i="53039"/>
  <c r="T30" i="3"/>
  <c r="L12" i="53039"/>
  <c r="Q12" i="53039"/>
  <c r="N12" i="53039"/>
  <c r="K12" i="53039"/>
  <c r="P12" i="53039"/>
  <c r="M12" i="53039"/>
  <c r="J12" i="53039"/>
  <c r="O12" i="53039"/>
  <c r="T40" i="3"/>
  <c r="W25" i="3"/>
  <c r="W24" i="3"/>
  <c r="V14" i="3"/>
  <c r="X10" i="53029"/>
  <c r="I11" i="53039" l="1"/>
  <c r="T24" i="3"/>
  <c r="U24" i="3" s="1"/>
  <c r="T25" i="3"/>
  <c r="U25" i="3" s="1"/>
  <c r="U22" i="3"/>
  <c r="I9" i="53039"/>
  <c r="I10" i="53039"/>
  <c r="M10" i="53039"/>
  <c r="T37" i="3"/>
  <c r="M19" i="53039"/>
  <c r="L19" i="53039"/>
  <c r="O19" i="53039"/>
  <c r="Q19" i="53039"/>
  <c r="K19" i="53039"/>
  <c r="N19" i="53039"/>
  <c r="J19" i="53039"/>
  <c r="P19" i="53039"/>
  <c r="K9" i="53039"/>
  <c r="L9" i="53039"/>
  <c r="Q9" i="53039"/>
  <c r="M9" i="53039"/>
  <c r="N9" i="53039"/>
  <c r="O9" i="53039"/>
  <c r="P9" i="53039"/>
  <c r="J9" i="53039"/>
  <c r="O10" i="53039"/>
  <c r="X18" i="53029"/>
  <c r="W14" i="3"/>
  <c r="H37" i="53029"/>
  <c r="H38" i="53029" s="1"/>
  <c r="N10" i="53039" l="1"/>
  <c r="L10" i="53039"/>
  <c r="J10" i="53039"/>
  <c r="Q10" i="53039"/>
  <c r="K10" i="53039"/>
  <c r="P10" i="53039"/>
  <c r="M11" i="53039"/>
  <c r="N11" i="53039"/>
  <c r="O11" i="53039"/>
  <c r="P11" i="53039"/>
  <c r="J11" i="53039"/>
  <c r="Q11" i="53039"/>
  <c r="L11" i="53039"/>
  <c r="K11" i="53039"/>
  <c r="U14" i="3"/>
  <c r="H44" i="53029"/>
  <c r="H42" i="53029"/>
  <c r="H43" i="53029"/>
  <c r="H40" i="53029"/>
  <c r="H41" i="53029"/>
  <c r="H39" i="53029"/>
  <c r="H46" i="53029" l="1"/>
  <c r="G47"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Fellows, Carl (Admin)</author>
  </authors>
  <commentList>
    <comment ref="N5" authorId="0" shapeId="0" xr:uid="{B6430D57-6E5B-45FC-8678-C1DE3EF9AA1A}">
      <text>
        <r>
          <rPr>
            <sz val="12"/>
            <color indexed="81"/>
            <rFont val="Arial"/>
            <family val="2"/>
          </rPr>
          <t>This rarely changes but keep an eye on it.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H34" authorId="0" shapeId="0" xr:uid="{00000000-0006-0000-0500-000001000000}">
      <text>
        <r>
          <rPr>
            <sz val="10"/>
            <color indexed="81"/>
            <rFont val="Arial"/>
            <family val="2"/>
          </rPr>
          <t>SELECT MainUnionCT1.AuthCode, AuthCodes."Authority name", AuthCodes."Authority name Welsh", MainUnionCT1.ColumnRef, ColRefs.ColumnDesc, MainUnionCT1.Data, MainUnionCT1.FormRef, MainUnionCT1.RowRef, RowRefs.RowDesc, MainUnionCT1.YearCode
FROM SD_LocalGovernmentFinance.dbo.AuthCodes AuthCodes, SD_LocalGovernmentFinance.dbo.ColRefs ColRefs, SD_LocalGovernmentFinance.dbo.MainUnionCT1 MainUnionCT1, SD_LocalGovernmentFinance.dbo.RowRefs RowRefs
WHERE RowRefs.FormRef = MainUnionCT1.FormRef AND RowRefs.RowRef = MainUnionCT1.RowRef AND RowRefs.YearCode = MainUnionCT1.YearCode AND AuthCodes.AuthCode = MainUnionCT1.AuthCode AND ColRefs.ColumnRef = MainUnionCT1.ColumnRef AND ColRefs.FormRef = MainUnionCT1.FormRef AND ColRefs.YearCode = MainUnionCT1.YearCode AND ((RowRefs.YearCode=202021) AND (RowRefs.RowRef=$26))</t>
        </r>
      </text>
    </comment>
    <comment ref="K34" authorId="0" shapeId="0" xr:uid="{00000000-0006-0000-0500-000002000000}">
      <text>
        <r>
          <rPr>
            <sz val="10"/>
            <color indexed="81"/>
            <rFont val="Arial"/>
            <family val="2"/>
          </rPr>
          <t>SELECT MainUnionCT1.AuthCode, AuthCodes."Authority name", AuthCodes."Authority name Welsh", MainUnionCT1.ColumnRef, ColRefs.ColumnDesc, MainUnionCT1.Data, MainUnionCT1.FormRef, MainUnionCT1.RowRef, RowRefs.RowDesc, MainUnionCT1.YearCode
FROM SD_LocalGovernmentFinance.dbo.AuthCodes AuthCodes, SD_LocalGovernmentFinance.dbo.ColRefs ColRefs, SD_LocalGovernmentFinance.dbo.MainUnionCT1 MainUnionCT1, SD_LocalGovernmentFinance.dbo.RowRefs RowRefs
WHERE RowRefs.FormRef = MainUnionCT1.FormRef AND RowRefs.RowRef = MainUnionCT1.RowRef AND RowRefs.YearCode = MainUnionCT1.YearCode AND AuthCodes.AuthCode = MainUnionCT1.AuthCode AND ColRefs.ColumnRef = MainUnionCT1.ColumnRef AND ColRefs.FormRef = MainUnionCT1.FormRef AND ColRefs.YearCode = MainUnionCT1.YearCode AND ((RowRefs.YearCode=202223) AND (RowRefs.RowRef=$26))</t>
        </r>
      </text>
    </comment>
    <comment ref="H35" authorId="0" shapeId="0" xr:uid="{2335357C-7A92-4321-8676-A050BA481AC7}">
      <text>
        <r>
          <rPr>
            <sz val="10"/>
            <color indexed="81"/>
            <rFont val="Arial"/>
            <family val="2"/>
          </rPr>
          <t>E5 - Council tax base for tax-setting purposes (=E3+E4)</t>
        </r>
        <r>
          <rPr>
            <sz val="9"/>
            <color indexed="81"/>
            <rFont val="Tahoma"/>
            <charset val="1"/>
          </rPr>
          <t xml:space="preserve">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Kelly, Frank (KAS)</author>
  </authors>
  <commentList>
    <comment ref="AJ1" authorId="0" shapeId="0" xr:uid="{00000000-0006-0000-0800-000001000000}">
      <text>
        <r>
          <rPr>
            <sz val="10"/>
            <color indexed="81"/>
            <rFont val="Arial"/>
            <family val="2"/>
          </rPr>
          <t>SELECT MainBR.YearCode, MainBR.FormRef, MainBR.AuthCode, RowRefs.RowRef, RowRefs.StandDesc, MainBR.Data
FROM SD_LocalGovernmentFinance.dbo.ColRefs ColRefs, SD_LocalGovernmentFinance.dbo.MainBR MainBR, SD_LocalGovernmentFinance.dbo.RowRefs RowRefs
WHERE MainBR.ColumnRef = ColRefs.ColumnRef AND MainBR.FormRef = ColRefs.FormRef AND MainBR.YearCode = ColRefs.YearCode AND MainBR.FormRef = RowRefs.FormRef AND MainBR.RowRef = RowRefs.RowRef AND MainBR.YearCode = RowRefs.YearCode AND ((MainBR.YearCode&gt;=202223) AND (MainBR.AuthCode&lt;596) AND (MainBR.FormRef='BR2') AND (MainBR.ColumnRef=$1))</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3000000}" name="DataIn (ValData)" type="1" refreshedVersion="8" background="1" saveData="1">
    <dbPr connection="DRIVER=SQL Server;SERVER=HCA124;UID=andersonb1;Trusted_Connection=Yes;APP=Microsoft Office;WSID=HRL219;DATABASE=SD_LocalGovernmentFinance;LANGUAGE=British" command="SELECT MainBR.YearCode, MainBR.FormRef, MainBR.AuthCode, RowRefs.RowRef, RowRefs.StandDesc, MainBR.Data_x000d__x000a_FROM SD_LocalGovernmentFinance.dbo.ColRefs ColRefs, SD_LocalGovernmentFinance.dbo.MainBR MainBR, SD_LocalGovernmentFinance.dbo.RowRefs RowRefs_x000d__x000a_WHERE MainBR.ColumnRef = ColRefs.ColumnRef AND MainBR.FormRef = ColRefs.FormRef AND MainBR.YearCode = ColRefs.YearCode AND MainBR.FormRef = RowRefs.FormRef AND MainBR.RowRef = RowRefs.RowRef AND MainBR.YearCode = RowRefs.YearCode AND ((MainBR.YearCode&gt;=202223) AND (MainBR.AuthCode&lt;596) AND (MainBR.FormRef='BR2') AND (MainBR.ColumnRef=$1))"/>
  </connection>
  <connection id="2" xr16:uid="{00000000-0015-0000-FFFF-FFFF02000000}" name="Pivot from CT1" type="1" refreshedVersion="8" saveData="1">
    <dbPr connection="Description=Local Government Finance;DRIVER=SQL Server;SERVER=HCA124;UID=andersonb1;Trusted_Connection=Yes;APP=Microsoft Office 2003;WSID=HJL005;DATABASE=SD_LocalGovernmentFinance" command="SELECT MainUnionCT1.AuthCode, AuthCodes.&quot;Authority name&quot;, AuthCodes.&quot;Authority name Welsh&quot;, MainUnionCT1.ColumnRef, ColRefs.ColumnDesc, MainUnionCT1.Data, MainUnionCT1.FormRef, MainUnionCT1.RowRef, RowRefs.RowDesc, MainUnionCT1.YearCode_x000d__x000a_FROM SD_LocalGovernmentFinance.dbo.AuthCodes AuthCodes, SD_LocalGovernmentFinance.dbo.ColRefs ColRefs, SD_LocalGovernmentFinance.dbo.MainUnionCT1 MainUnionCT1, SD_LocalGovernmentFinance.dbo.RowRefs RowRefs_x000d__x000a_WHERE RowRefs.FormRef = MainUnionCT1.FormRef AND RowRefs.RowRef = MainUnionCT1.RowRef AND RowRefs.YearCode = MainUnionCT1.YearCode AND AuthCodes.AuthCode = MainUnionCT1.AuthCode AND ColRefs.ColumnRef = MainUnionCT1.ColumnRef AND ColRefs.FormRef = MainUnionCT1.FormRef AND ColRefs.YearCode = MainUnionCT1.YearCode AND ((RowRefs.YearCode=202425) AND (RowRefs.RowRef=$26))"/>
  </connection>
</connections>
</file>

<file path=xl/sharedStrings.xml><?xml version="1.0" encoding="utf-8"?>
<sst xmlns="http://schemas.openxmlformats.org/spreadsheetml/2006/main" count="4550" uniqueCount="3565">
  <si>
    <t>UACode</t>
  </si>
  <si>
    <t>Re-distributed non-domestic rates</t>
  </si>
  <si>
    <t>Revenue support grant</t>
  </si>
  <si>
    <t>(£)</t>
  </si>
  <si>
    <t>Expenditure and income</t>
  </si>
  <si>
    <t>Index</t>
  </si>
  <si>
    <t>UAName</t>
  </si>
  <si>
    <t>E</t>
  </si>
  <si>
    <t>Conwy</t>
  </si>
  <si>
    <t>Carmarthen</t>
  </si>
  <si>
    <t>Bridgend</t>
  </si>
  <si>
    <t>Torfaen</t>
  </si>
  <si>
    <t>Cwmbran</t>
  </si>
  <si>
    <t>If necessary, please amend the name and telephone number of our contact in case of queries:-</t>
  </si>
  <si>
    <t>Data</t>
  </si>
  <si>
    <t>Carmarthenshire</t>
  </si>
  <si>
    <t>01492</t>
  </si>
  <si>
    <t>01267</t>
  </si>
  <si>
    <t>01656</t>
  </si>
  <si>
    <t>PO Box 99</t>
  </si>
  <si>
    <t>Llangunnor</t>
  </si>
  <si>
    <t>SA31 2PF</t>
  </si>
  <si>
    <t>NP44 2XJ</t>
  </si>
  <si>
    <t>Glan-y-Don</t>
  </si>
  <si>
    <t>Colwyn Bay</t>
  </si>
  <si>
    <t>LL29 8AW</t>
  </si>
  <si>
    <t>Police Headquarters</t>
  </si>
  <si>
    <t>Cowbridge Road</t>
  </si>
  <si>
    <t>CF31 3SU</t>
  </si>
  <si>
    <t>BR2</t>
  </si>
  <si>
    <t>Budget requirement</t>
  </si>
  <si>
    <t>Sum of lines 2, 3 and 4</t>
  </si>
  <si>
    <t>Powys</t>
  </si>
  <si>
    <t>Ceredigion</t>
  </si>
  <si>
    <t>Pembrokeshire</t>
  </si>
  <si>
    <t>Caerphilly</t>
  </si>
  <si>
    <t>Blaenau Gwent</t>
  </si>
  <si>
    <t>Monmouthshire</t>
  </si>
  <si>
    <t>Newport</t>
  </si>
  <si>
    <t>Isle of Anglesey</t>
  </si>
  <si>
    <t>Swansea</t>
  </si>
  <si>
    <t>Gwynedd</t>
  </si>
  <si>
    <t>Denbighshire</t>
  </si>
  <si>
    <t>Flintshire</t>
  </si>
  <si>
    <t>Wrexham</t>
  </si>
  <si>
    <t>Neath Port Talbot</t>
  </si>
  <si>
    <t>Cardiff</t>
  </si>
  <si>
    <t>Merthyr Tydfil</t>
  </si>
  <si>
    <t>Council tax base for area (band D equivalent)</t>
  </si>
  <si>
    <t>FormRef</t>
  </si>
  <si>
    <t>RowRef</t>
  </si>
  <si>
    <t>ColumnRef</t>
  </si>
  <si>
    <t>Validation</t>
  </si>
  <si>
    <t>Police grant allocation under principal formula (including floor funding)</t>
  </si>
  <si>
    <t>Precepts</t>
  </si>
  <si>
    <t>AuthCode</t>
  </si>
  <si>
    <t>YearCode</t>
  </si>
  <si>
    <t>(Amounts of precepts issued to billing authorities in accordance with section 40(2)b of the Local Government Finance Act 1992)</t>
  </si>
  <si>
    <t>Vale of Glamorgan</t>
  </si>
  <si>
    <t>Authority 1</t>
  </si>
  <si>
    <t>Authority 2</t>
  </si>
  <si>
    <t>Authority 3</t>
  </si>
  <si>
    <t>Authority 4</t>
  </si>
  <si>
    <t>Authority 5</t>
  </si>
  <si>
    <t>Authority 6</t>
  </si>
  <si>
    <t>Authority 7</t>
  </si>
  <si>
    <t>Precept</t>
  </si>
  <si>
    <t>NDR</t>
  </si>
  <si>
    <t>RSG</t>
  </si>
  <si>
    <t>PG</t>
  </si>
  <si>
    <t>Taxbase</t>
  </si>
  <si>
    <t>The information on this form must be submitted under section 64 of the Local Government Finance Act 1992, as amended.</t>
  </si>
  <si>
    <t>Signature of Chief Financial Officer:</t>
  </si>
  <si>
    <t>(From LGF)</t>
  </si>
  <si>
    <t>(From CT1)</t>
  </si>
  <si>
    <t>CHECK</t>
  </si>
  <si>
    <t>(calculated)</t>
  </si>
  <si>
    <t>AuthorityName</t>
  </si>
  <si>
    <t>CFOName</t>
  </si>
  <si>
    <t>Address1</t>
  </si>
  <si>
    <t>Address2</t>
  </si>
  <si>
    <t>Address3</t>
  </si>
  <si>
    <t>Address4</t>
  </si>
  <si>
    <t>Postcode</t>
  </si>
  <si>
    <t>BRName</t>
  </si>
  <si>
    <t>BRSTDCde</t>
  </si>
  <si>
    <t>BRTelephone</t>
  </si>
  <si>
    <t>BREMail</t>
  </si>
  <si>
    <t xml:space="preserve">Contact name:        </t>
  </si>
  <si>
    <t xml:space="preserve">Contact E-mail:        </t>
  </si>
  <si>
    <t xml:space="preserve">Telephone:        </t>
  </si>
  <si>
    <t>Notes for guidance hyperlink</t>
  </si>
  <si>
    <t>Form Design</t>
  </si>
  <si>
    <t>Documentation</t>
  </si>
  <si>
    <t>General Comments</t>
  </si>
  <si>
    <t>Survey Response Burden</t>
  </si>
  <si>
    <t>Please enter the time it has taken you (and any colleagues) to prepare and send the return.</t>
  </si>
  <si>
    <t>Please only include time spent on activities to prepare and send this return, such as:</t>
  </si>
  <si>
    <t>Hours taken</t>
  </si>
  <si>
    <t>Please feel free to add any comments</t>
  </si>
  <si>
    <t>Sum of Data2</t>
  </si>
  <si>
    <t>Authority name</t>
  </si>
  <si>
    <t>Rhondda Cynon Taf</t>
  </si>
  <si>
    <t>Total Unitary Authorities</t>
  </si>
  <si>
    <t>Total</t>
  </si>
  <si>
    <t>Click the link below for notes for guidance for individual forms (Web access required)</t>
  </si>
  <si>
    <t xml:space="preserve">The Welsh Government are monitoring the burden of completing this data collection form. </t>
  </si>
  <si>
    <t>Name of billing authority</t>
  </si>
  <si>
    <t>(2)</t>
  </si>
  <si>
    <t>(3)</t>
  </si>
  <si>
    <t>(4)</t>
  </si>
  <si>
    <t>Welsh Government</t>
  </si>
  <si>
    <t>Cathays Park</t>
  </si>
  <si>
    <t>CF10 3NQ</t>
  </si>
  <si>
    <t>A</t>
  </si>
  <si>
    <t>B</t>
  </si>
  <si>
    <t>C</t>
  </si>
  <si>
    <t>D</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</si>
  <si>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</si>
  <si>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</si>
  <si>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</si>
  <si>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</si>
  <si>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</si>
  <si>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</si>
  <si>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</si>
  <si>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</si>
  <si>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</si>
  <si>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</si>
  <si>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</si>
  <si>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</si>
  <si>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</si>
  <si>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</si>
  <si>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</si>
  <si>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</si>
  <si>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</si>
  <si>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</si>
  <si>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</si>
  <si>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</si>
  <si>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</si>
  <si>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</si>
  <si>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</si>
  <si>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</si>
  <si>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</si>
  <si>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</si>
  <si>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</si>
  <si>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</si>
  <si>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</si>
  <si>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</si>
  <si>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</si>
  <si>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</si>
  <si>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</si>
  <si>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</si>
  <si>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</si>
  <si>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AO</t>
  </si>
  <si>
    <t>AP</t>
  </si>
  <si>
    <t>AQ</t>
  </si>
  <si>
    <t>AR</t>
  </si>
  <si>
    <t>AS</t>
  </si>
  <si>
    <t>AT</t>
  </si>
  <si>
    <t>AU</t>
  </si>
  <si>
    <t>AV</t>
  </si>
  <si>
    <t>AW</t>
  </si>
  <si>
    <t>AX</t>
  </si>
  <si>
    <t>AY</t>
  </si>
  <si>
    <t>AZ</t>
  </si>
  <si>
    <t>BA</t>
  </si>
  <si>
    <t>BB</t>
  </si>
  <si>
    <t>BC</t>
  </si>
  <si>
    <t>BD</t>
  </si>
  <si>
    <t>BE</t>
  </si>
  <si>
    <t>BF</t>
  </si>
  <si>
    <t>BG</t>
  </si>
  <si>
    <t>BH</t>
  </si>
  <si>
    <t>BI</t>
  </si>
  <si>
    <t>BJ</t>
  </si>
  <si>
    <t>BK</t>
  </si>
  <si>
    <t>BL</t>
  </si>
  <si>
    <t>BM</t>
  </si>
  <si>
    <t>BN</t>
  </si>
  <si>
    <t>BO</t>
  </si>
  <si>
    <t>BP</t>
  </si>
  <si>
    <t>BQ</t>
  </si>
  <si>
    <t>BR</t>
  </si>
  <si>
    <t>BS</t>
  </si>
  <si>
    <t>BT</t>
  </si>
  <si>
    <t>BU</t>
  </si>
  <si>
    <t>BV</t>
  </si>
  <si>
    <t>BW</t>
  </si>
  <si>
    <t>BX</t>
  </si>
  <si>
    <t>BY</t>
  </si>
  <si>
    <t>BZ</t>
  </si>
  <si>
    <t>CA</t>
  </si>
  <si>
    <t>CB</t>
  </si>
  <si>
    <t>CC</t>
  </si>
  <si>
    <t>CD</t>
  </si>
  <si>
    <t>CE</t>
  </si>
  <si>
    <t>CF</t>
  </si>
  <si>
    <t>CG</t>
  </si>
  <si>
    <t>CH</t>
  </si>
  <si>
    <t>CI</t>
  </si>
  <si>
    <t>CJ</t>
  </si>
  <si>
    <t>CK</t>
  </si>
  <si>
    <t>CL</t>
  </si>
  <si>
    <t>CM</t>
  </si>
  <si>
    <t>CN</t>
  </si>
  <si>
    <t>CO</t>
  </si>
  <si>
    <t>CP</t>
  </si>
  <si>
    <t>CQ</t>
  </si>
  <si>
    <t>CR</t>
  </si>
  <si>
    <t>CS</t>
  </si>
  <si>
    <t>CT</t>
  </si>
  <si>
    <t>CU</t>
  </si>
  <si>
    <t>ZZ</t>
  </si>
  <si>
    <t>Office of the Police and Crime Commissioner for Dyfed Powys</t>
  </si>
  <si>
    <t>Office of the Police and Crime Commissioner for Gwent</t>
  </si>
  <si>
    <t>Office of the Police and Crime Commissioner for North Wales</t>
  </si>
  <si>
    <t>Office of the Police and Crime Commissioner for South Wales</t>
  </si>
  <si>
    <t>Ty Morgannwg</t>
  </si>
  <si>
    <t>Darren Garwood-Pask</t>
  </si>
  <si>
    <t>01633</t>
  </si>
  <si>
    <t>Kate Jackson</t>
  </si>
  <si>
    <t>Telephone:</t>
  </si>
  <si>
    <t>E-mail:</t>
  </si>
  <si>
    <t>Input</t>
  </si>
  <si>
    <t>Locked</t>
  </si>
  <si>
    <t>Addresses</t>
  </si>
  <si>
    <t>Authority</t>
  </si>
  <si>
    <t>Letter</t>
  </si>
  <si>
    <t>UAList</t>
  </si>
  <si>
    <t>Year</t>
  </si>
  <si>
    <t>Row</t>
  </si>
  <si>
    <t>Col</t>
  </si>
  <si>
    <t>Code</t>
  </si>
  <si>
    <t>Compare Transfer input table with data dump</t>
  </si>
  <si>
    <t>from inputted DB data. Should be all zeros</t>
  </si>
  <si>
    <t>Validation check of input/output</t>
  </si>
  <si>
    <t>Police Force</t>
  </si>
  <si>
    <t>Dyfed Powys</t>
  </si>
  <si>
    <t>Gwent</t>
  </si>
  <si>
    <t>North Wales</t>
  </si>
  <si>
    <t>South Wales</t>
  </si>
  <si>
    <t>Wales</t>
  </si>
  <si>
    <t>tblTranslate</t>
  </si>
  <si>
    <t>"=" rows</t>
  </si>
  <si>
    <t>"include" rows</t>
  </si>
  <si>
    <t>Original Line Description</t>
  </si>
  <si>
    <t>Line Numbers</t>
  </si>
  <si>
    <t>English Description</t>
  </si>
  <si>
    <t>English</t>
  </si>
  <si>
    <t>Line Info E</t>
  </si>
  <si>
    <t>Welsh</t>
  </si>
  <si>
    <t>Line Info W</t>
  </si>
  <si>
    <t>Fpage</t>
  </si>
  <si>
    <t>Capital outturn</t>
  </si>
  <si>
    <t xml:space="preserve">Total receipts
</t>
  </si>
  <si>
    <t xml:space="preserve"> (COR 1-2, column 13)</t>
  </si>
  <si>
    <t>Cyfanswm derbyniadau</t>
  </si>
  <si>
    <t xml:space="preserve"> (lines 198, 298, 398, 498, 598 &amp; 698)</t>
  </si>
  <si>
    <t xml:space="preserve"> (llinellau 198, 298, 398, 498, 598 a 698)</t>
  </si>
  <si>
    <t>Please select your authority</t>
  </si>
  <si>
    <t>Total expenditure</t>
  </si>
  <si>
    <t xml:space="preserve"> (COR 1-2, column 9)</t>
  </si>
  <si>
    <t>Cyfanswm gwariant</t>
  </si>
  <si>
    <t xml:space="preserve"> (lines 10 to 14)</t>
  </si>
  <si>
    <t xml:space="preserve"> (llinellau 10 i 14)</t>
  </si>
  <si>
    <t>Total in-year capital receipts - HRA</t>
  </si>
  <si>
    <t xml:space="preserve"> (COR1-2, line 24, column 13)</t>
  </si>
  <si>
    <t>Cyfanswm derbyniadau cyfalaf yn ystod y flwyddyn - HRA</t>
  </si>
  <si>
    <t xml:space="preserve"> (cyfanswm lines 8.1 to 8.7)</t>
  </si>
  <si>
    <t xml:space="preserve"> (cyfanswm llinellau 8.1 i 8.7)</t>
  </si>
  <si>
    <t>Total in-year capital receipts non HRA</t>
  </si>
  <si>
    <t xml:space="preserve"> (COR1-2, line 66 minus line 24, column 13)</t>
  </si>
  <si>
    <t>Cyfanswm derbyniadau cyfalaf yn ystod y flwyddyn, ddim HRA</t>
  </si>
  <si>
    <t xml:space="preserve"> (lines 16 to 23)</t>
  </si>
  <si>
    <t xml:space="preserve"> (llinellau 16 i 23)</t>
  </si>
  <si>
    <t>Total capital expenditure</t>
  </si>
  <si>
    <t xml:space="preserve"> (COR4, line 15, column 3)</t>
  </si>
  <si>
    <t>Cyfanswm gwariant cyfalaf</t>
  </si>
  <si>
    <t xml:space="preserve"> (lines 25 to 31)</t>
  </si>
  <si>
    <t xml:space="preserve"> (llinellau 25 i 31)</t>
  </si>
  <si>
    <t>Total expenditure treated as capital expenditure by virtue of a section 16(2)(b) direction</t>
  </si>
  <si>
    <t xml:space="preserve"> (cyfanswm column 4, lines 1 to 11)</t>
  </si>
  <si>
    <t>Cyfanswm y gwariant a gaiff ei drin fel gwariant cyfalaf yn rhinwedd cyfarwyddyd adran 16(2)(b)</t>
  </si>
  <si>
    <t xml:space="preserve"> (lines 33 and 34)</t>
  </si>
  <si>
    <t xml:space="preserve"> (llinellau 33 a 34)</t>
  </si>
  <si>
    <t>The information on this form must be submitted to the Welsh Government under section 14 of the Local Government Act 2003.</t>
  </si>
  <si>
    <t>Total expenditure and other transactions</t>
  </si>
  <si>
    <t xml:space="preserve"> (cyfanswm lines 12 to 14, column 3)</t>
  </si>
  <si>
    <t>Cyfanswm gwariant a thrafodiadau eraill</t>
  </si>
  <si>
    <t xml:space="preserve"> (lines 24+32+35)</t>
  </si>
  <si>
    <t xml:space="preserve"> (llinellau 24+32+35)</t>
  </si>
  <si>
    <t>This form must be returned by 31 July 2015</t>
  </si>
  <si>
    <t>Total amount due in year</t>
  </si>
  <si>
    <t xml:space="preserve"> (line 1+line 2):</t>
  </si>
  <si>
    <t>Y cyfanswm sy'n ddyledus yn ystod y flwyddyn</t>
  </si>
  <si>
    <t xml:space="preserve"> (lines 37 to 39)</t>
  </si>
  <si>
    <t xml:space="preserve"> (llinellau 37 i 39)</t>
  </si>
  <si>
    <t>Please email the spreadsheet to the address below, please note that we no longer require a signed hard-copy of this return.</t>
  </si>
  <si>
    <t>NDR collection rate  (%)</t>
  </si>
  <si>
    <t xml:space="preserve"> (line 11 / line 10.5 x 100)</t>
  </si>
  <si>
    <t>Cyfradd casglu ardrethi annomestig (%)</t>
  </si>
  <si>
    <t xml:space="preserve"> (lines 41 to 43)</t>
  </si>
  <si>
    <t xml:space="preserve"> (llinellau 41 i 43)</t>
  </si>
  <si>
    <t>Any queries on completion of the form or spreadsheet should be directed to Frank Kelly or Anthony Newby, via telephone or e-mail, as directed below.</t>
  </si>
  <si>
    <t>Transport</t>
  </si>
  <si>
    <t xml:space="preserve"> (line 15)</t>
  </si>
  <si>
    <t>Trafnidiaeth</t>
  </si>
  <si>
    <t xml:space="preserve"> (lines 46 and 47)</t>
  </si>
  <si>
    <t xml:space="preserve"> (llinellau 46 a 47)</t>
  </si>
  <si>
    <t>It is a Welsh Government audit requirement that all cells are completed.  Please ensure that all blank cells are populated with zeros, those that are not will be assumed to be zero.</t>
  </si>
  <si>
    <t>Capital expenditure resourced by means of credit</t>
  </si>
  <si>
    <t xml:space="preserve"> (line 30 plus line 31)</t>
  </si>
  <si>
    <t>Gwariant cyfalaf wedi'i gyllido gan gredyd</t>
  </si>
  <si>
    <t xml:space="preserve"> (lines 49 to 59)</t>
  </si>
  <si>
    <t xml:space="preserve"> (llinellau 49 i 59)</t>
  </si>
  <si>
    <t>Local Government Financial Statistics,</t>
  </si>
  <si>
    <t>Capital Financing Requirement as at 31 March</t>
  </si>
  <si>
    <t xml:space="preserve"> (line 33 plus line 36)</t>
  </si>
  <si>
    <t>Gofyniad Cyllido Cyfalaf fel yr oedd ar 31 Mawrth</t>
  </si>
  <si>
    <t xml:space="preserve"> (lines 61 to 63)</t>
  </si>
  <si>
    <t xml:space="preserve"> (llinellau 61 i 63)</t>
  </si>
  <si>
    <t>Knowledge and Analytical Services,</t>
  </si>
  <si>
    <t>Change in Capital Financing Requirement</t>
  </si>
  <si>
    <t xml:space="preserve"> (line 34 less line 35)</t>
  </si>
  <si>
    <t>Newid yn y Gofyniad Cyllido Cyfalaf</t>
  </si>
  <si>
    <t xml:space="preserve"> (lines 6+7+15+36+40+44+48+60+65)</t>
  </si>
  <si>
    <t xml:space="preserve"> (llinellau 6+7+15+36+40+44+48+60+65)</t>
  </si>
  <si>
    <t>Welsh Government,</t>
  </si>
  <si>
    <t>Line 4 as a % of Total amount due:</t>
  </si>
  <si>
    <t xml:space="preserve"> (line 4 / line 3 x 100)</t>
  </si>
  <si>
    <t>Llinell 4 fel % o'r cyfanswm sy'n ddyledus:</t>
  </si>
  <si>
    <t xml:space="preserve"> (line 6)</t>
  </si>
  <si>
    <t xml:space="preserve"> (llinell 6)</t>
  </si>
  <si>
    <t>Cathays Park,</t>
  </si>
  <si>
    <t>Libraries, culture and heritage</t>
  </si>
  <si>
    <t xml:space="preserve"> (line 40)</t>
  </si>
  <si>
    <t>Llyfrgelloedd, diwylliant a threftadaeth</t>
  </si>
  <si>
    <t xml:space="preserve"> (line 7)</t>
  </si>
  <si>
    <t xml:space="preserve"> (llinell 7)</t>
  </si>
  <si>
    <t>CARDIFF,</t>
  </si>
  <si>
    <t>Agriculture and fisheries</t>
  </si>
  <si>
    <t xml:space="preserve"> (line 44)</t>
  </si>
  <si>
    <t>Amaethyddiaeth a physgodfeydd</t>
  </si>
  <si>
    <t xml:space="preserve"> (llinell 15)</t>
  </si>
  <si>
    <t>CF10 3NQ.</t>
  </si>
  <si>
    <t>Sport and recreation</t>
  </si>
  <si>
    <t xml:space="preserve"> (line 48)</t>
  </si>
  <si>
    <t>Chwaraeon a hamdden</t>
  </si>
  <si>
    <t xml:space="preserve"> (llinell 40)</t>
  </si>
  <si>
    <t>Telephone: 029 2082 5673</t>
  </si>
  <si>
    <t>Education</t>
  </si>
  <si>
    <t>Addysg</t>
  </si>
  <si>
    <t xml:space="preserve"> (llinell 44)</t>
  </si>
  <si>
    <t>E-mail: lgfs.transfer@wales.gsi.gov.uk</t>
  </si>
  <si>
    <t>Other environmental services</t>
  </si>
  <si>
    <t xml:space="preserve"> (line 60)</t>
  </si>
  <si>
    <t>Gwasanaethau amgylcheddol eraill</t>
  </si>
  <si>
    <t xml:space="preserve"> (llinell 48)</t>
  </si>
  <si>
    <t>Fire and rescue service</t>
  </si>
  <si>
    <t xml:space="preserve"> (line 61)</t>
  </si>
  <si>
    <t>Gwasanaeth tân ac achub</t>
  </si>
  <si>
    <t xml:space="preserve"> (llinell 60)</t>
  </si>
  <si>
    <t>COR 1-2</t>
  </si>
  <si>
    <t>Please select your authority on FrontPage</t>
  </si>
  <si>
    <t>Police service</t>
  </si>
  <si>
    <t xml:space="preserve"> (line 62)</t>
  </si>
  <si>
    <t>Gwasanaeth yr heddlu</t>
  </si>
  <si>
    <t xml:space="preserve"> (llinell 61)</t>
  </si>
  <si>
    <t>COR1-2:       Capital outturn 1 and 2</t>
  </si>
  <si>
    <t>Courts</t>
  </si>
  <si>
    <t xml:space="preserve"> (line 63)</t>
  </si>
  <si>
    <t>Llysoedd</t>
  </si>
  <si>
    <t xml:space="preserve"> (llinell 62)</t>
  </si>
  <si>
    <t>Pre-primary education</t>
  </si>
  <si>
    <t>Social services</t>
  </si>
  <si>
    <t>Gwasanaethau cymdeithasol</t>
  </si>
  <si>
    <t xml:space="preserve"> (llinell 63)</t>
  </si>
  <si>
    <t>Primary education</t>
  </si>
  <si>
    <t>Total expenditure / receipts (accruals)</t>
  </si>
  <si>
    <t xml:space="preserve"> (lines 1 to 11)</t>
  </si>
  <si>
    <t>Cyfanswm gwariant / derbyniadau (croniadau)</t>
  </si>
  <si>
    <t xml:space="preserve"> (llinellau 1 i 11)</t>
  </si>
  <si>
    <t>Secondary education</t>
  </si>
  <si>
    <t>Total education</t>
  </si>
  <si>
    <t xml:space="preserve"> (lines 1.1 to 5)</t>
  </si>
  <si>
    <t>Cyfanswm addysg</t>
  </si>
  <si>
    <t xml:space="preserve"> (cyfanswm colofn 4, llinellau 1 i 11)</t>
  </si>
  <si>
    <t>Special education</t>
  </si>
  <si>
    <t>Total other central services to the public</t>
  </si>
  <si>
    <t>Cyfanswm gwasanaethau canolog eraill i'r cyhoedd</t>
  </si>
  <si>
    <t xml:space="preserve"> (cyfanswm llinellau 12 i 14, colofn 3)</t>
  </si>
  <si>
    <t>Youth service</t>
  </si>
  <si>
    <t>Total Housing Revenue Account</t>
  </si>
  <si>
    <t>Cyfanswm Cyfrif Refeniw Tai</t>
  </si>
  <si>
    <t xml:space="preserve"> (COR 1-2, colofn 9)</t>
  </si>
  <si>
    <t>Other education services and continuing education</t>
  </si>
  <si>
    <t>Specification of other grants</t>
  </si>
  <si>
    <t>Manylion grantiau eraill</t>
  </si>
  <si>
    <t xml:space="preserve"> (COR 1-2, colofn 13)</t>
  </si>
  <si>
    <t>cyfanswm education (lines 1.1 to 5)</t>
  </si>
  <si>
    <t>Total in-year capital receipts</t>
  </si>
  <si>
    <t xml:space="preserve"> (lines 20 and 21)</t>
  </si>
  <si>
    <t>Cyfanswm derbyniadau cyfalaf yn ystod y flwyddyn</t>
  </si>
  <si>
    <t xml:space="preserve"> (COR4, llinell 15, colofn 3)</t>
  </si>
  <si>
    <t>Total housing</t>
  </si>
  <si>
    <t>Cyfanswm tai</t>
  </si>
  <si>
    <t xml:space="preserve"> (lines 50 to 52)</t>
  </si>
  <si>
    <t xml:space="preserve"> (llinellau 50 i 52)</t>
  </si>
  <si>
    <t>New construction/improvement of roads</t>
  </si>
  <si>
    <t>Total council fund housing</t>
  </si>
  <si>
    <t>Cyfanswm tai cronfa'r cyngor</t>
  </si>
  <si>
    <t xml:space="preserve"> (Lines 30.1 and 30.2)</t>
  </si>
  <si>
    <t xml:space="preserve"> (llinellau 30.1 a 30.2)</t>
  </si>
  <si>
    <t>Structural maintenance - principal roads</t>
  </si>
  <si>
    <t>Borrowing and credit arrangements that attract central government support</t>
  </si>
  <si>
    <t>Trefniadau benthyca a chredyd sy'n denu cymorth y llywodraeth ganolog</t>
  </si>
  <si>
    <t xml:space="preserve"> (Lines 31.1 and 31.2)</t>
  </si>
  <si>
    <t xml:space="preserve"> (Llinellau 31.1 a 31.2)</t>
  </si>
  <si>
    <t>Structural maintenance - other LA roads</t>
  </si>
  <si>
    <t>Other borrowing and credit arrangements</t>
  </si>
  <si>
    <t>Trefniadau benthyca a chredyd eraill</t>
  </si>
  <si>
    <t xml:space="preserve"> (llinell 30+llinell 31)</t>
  </si>
  <si>
    <t>Expenditure on bridges</t>
  </si>
  <si>
    <t>Total housing / SDA Act advances</t>
  </si>
  <si>
    <t>Cyfanswm blaensymiau tai / Deddf Caffael Anheddau Bychain</t>
  </si>
  <si>
    <t xml:space="preserve"> (llinell 34 wedi tynnu llinell 35)</t>
  </si>
  <si>
    <t>Road safety</t>
  </si>
  <si>
    <t>Total libraries, culture and heritage</t>
  </si>
  <si>
    <t>Cyfanswm llyfrgelloedd, diwylliant a threftadaeth</t>
  </si>
  <si>
    <t xml:space="preserve"> (llinell 33 plws llinell 36)</t>
  </si>
  <si>
    <t>Street lighting</t>
  </si>
  <si>
    <t>Total agriculture and fisheries</t>
  </si>
  <si>
    <t>Cyfanswm amaethyddiaeth a physgodfeydd</t>
  </si>
  <si>
    <t xml:space="preserve"> (COR1-2, llinell 24, colofn 13)</t>
  </si>
  <si>
    <t>Other</t>
  </si>
  <si>
    <t>Total sport and recreation</t>
  </si>
  <si>
    <t>Cyfanswm chwaraeon a hamdden</t>
  </si>
  <si>
    <t xml:space="preserve"> (COR1-2, llinell 66 tynnu llinell 24, colofn 13)</t>
  </si>
  <si>
    <t xml:space="preserve">cyfanswm roads new construction and maintenance, street lighting and road safety (cyfanswm lines 8.1 to 8.7) </t>
  </si>
  <si>
    <t>Total other environmental services</t>
  </si>
  <si>
    <t>Cyfanswm gwasanaethau amgylcheddol eraill</t>
  </si>
  <si>
    <t xml:space="preserve"> (llinellau 20 a 21)</t>
  </si>
  <si>
    <t>Parking of vehicles (including car parks)</t>
  </si>
  <si>
    <t>Capital grants and contributions from other sources</t>
  </si>
  <si>
    <t>Grantiau cyfalaf a chyfraniadau o ffynonellau eraill</t>
  </si>
  <si>
    <t xml:space="preserve"> (row 2, col. 2)</t>
  </si>
  <si>
    <t xml:space="preserve"> (rhes 2, colofn 2)</t>
  </si>
  <si>
    <t>Public passenger transport - bus</t>
  </si>
  <si>
    <t>Total all services</t>
  </si>
  <si>
    <t>Cyfanswm pob gwasanaeth</t>
  </si>
  <si>
    <t xml:space="preserve"> (llinell 11 / llinell 10.5 x 100)</t>
  </si>
  <si>
    <t>Public passenger transport - rail, underground and other</t>
  </si>
  <si>
    <t>Total law, order and protective services</t>
  </si>
  <si>
    <t>Cyfanswm cyfraith, trefn a gwasanaethau diogelu</t>
  </si>
  <si>
    <t xml:space="preserve"> (lines 8 to 14)</t>
  </si>
  <si>
    <t xml:space="preserve"> (llinell 8 I 14)</t>
  </si>
  <si>
    <t>Tolled road bridges, tunnels and ferries and public transport companies</t>
  </si>
  <si>
    <t>Total transport</t>
  </si>
  <si>
    <t>Cyfanswm trafnidiaeth (llinellau 8 i 14)</t>
  </si>
  <si>
    <t xml:space="preserve"> (llinell 4 / llinell 3 x 100)</t>
  </si>
  <si>
    <t>Local authority ports and piers</t>
  </si>
  <si>
    <t xml:space="preserve">Total roads new construction and maintenance, street lighting and road safety </t>
  </si>
  <si>
    <t xml:space="preserve"> (lines 8.1 to 8.7)</t>
  </si>
  <si>
    <t>Cyfanswm adeiladu ffyrdd newydd a gwella ffyrdd, goleuadau stryd a diogelwch ar y ffyrdd</t>
  </si>
  <si>
    <t xml:space="preserve"> (row 6, cols. 1 and 2)</t>
  </si>
  <si>
    <t xml:space="preserve"> (rhes 6, colofnau 1 a 2)</t>
  </si>
  <si>
    <t>Airports</t>
  </si>
  <si>
    <t>Arrears B/F at 2015-16</t>
  </si>
  <si>
    <t xml:space="preserve"> (row 1, col. 1)</t>
  </si>
  <si>
    <t>ôl-ddyledion wedi eu dwyn ymlaen yn 2015-16</t>
  </si>
  <si>
    <t xml:space="preserve"> (row 3, col. 1)</t>
  </si>
  <si>
    <t xml:space="preserve"> (rhes 3, colofn 1)</t>
  </si>
  <si>
    <t>cyfanswm transport (lines 8 to 14)</t>
  </si>
  <si>
    <t>Debit for the year</t>
  </si>
  <si>
    <t>Cyfanswm y debyd ar gyfer y flwyddyn</t>
  </si>
  <si>
    <t xml:space="preserve"> (row 3, col. 2)</t>
  </si>
  <si>
    <t xml:space="preserve"> (rhes 3, colofn 2)</t>
  </si>
  <si>
    <t>Acquisition / sale of land for housing revenue account (HRA)</t>
  </si>
  <si>
    <t>Total amount due</t>
  </si>
  <si>
    <t>Y cyfanswm sy'n ddyledus</t>
  </si>
  <si>
    <t xml:space="preserve"> (llinell 1+llinell 2):</t>
  </si>
  <si>
    <t>New building of HRA dwellings</t>
  </si>
  <si>
    <t xml:space="preserve"> (row 4, col. 1)</t>
  </si>
  <si>
    <t xml:space="preserve"> (rhes 4, colofn 1)</t>
  </si>
  <si>
    <t>Purchase / sale of HRA dwellings</t>
  </si>
  <si>
    <t>Received</t>
  </si>
  <si>
    <t>Y swm a gafwyd</t>
  </si>
  <si>
    <t xml:space="preserve"> (row 4, col. 2)</t>
  </si>
  <si>
    <t xml:space="preserve"> (rhes 4, colofn 2)</t>
  </si>
  <si>
    <t>Premature full repayment of principal on mortgages / loans provided for council house purchase</t>
  </si>
  <si>
    <t xml:space="preserve"> (row 7)</t>
  </si>
  <si>
    <t xml:space="preserve"> (rhes 7)</t>
  </si>
  <si>
    <t>Mortgages / loans provided for council house purchase</t>
  </si>
  <si>
    <t>Arrears O/S, 2014-15</t>
  </si>
  <si>
    <t>Ôl-ddyledion heb eu casglu, 2014-15</t>
  </si>
  <si>
    <t xml:space="preserve"> (rhes 1, colofn 1)</t>
  </si>
  <si>
    <t>Improvements and repairs to HRA PRCs</t>
  </si>
  <si>
    <t>Amount originally budgeted</t>
  </si>
  <si>
    <t>Y swm a nodwyd yn y gyllideb yn wreiddiol</t>
  </si>
  <si>
    <t xml:space="preserve"> (llinellau 8.1 i 8.7)</t>
  </si>
  <si>
    <t>Improvements and repairs to other HRA dwellings</t>
  </si>
  <si>
    <t>Total discounts</t>
  </si>
  <si>
    <t>( G2 + G4 + G6 + G8 + G10 ) ( gweler nodyn 11 )</t>
  </si>
  <si>
    <t>Cyfanswm disgowntiau</t>
  </si>
  <si>
    <t xml:space="preserve"> (llinellau 1.1 i 5)</t>
  </si>
  <si>
    <t>Low cost home ownership (HRA)</t>
  </si>
  <si>
    <t>Adjustments</t>
  </si>
  <si>
    <t>Addasiadau</t>
  </si>
  <si>
    <t xml:space="preserve"> (lines 200 to 209)</t>
  </si>
  <si>
    <t xml:space="preserve"> (llinellau 200 i 209)</t>
  </si>
  <si>
    <t>Other HRA</t>
  </si>
  <si>
    <t>Adult Community Learning (formerly Community learning)</t>
  </si>
  <si>
    <t>Dysgu Cymunedol i Oedolion (Dysgu Cymunedol yn flaenorol)</t>
  </si>
  <si>
    <t xml:space="preserve"> (lines 1 to 10)</t>
  </si>
  <si>
    <t xml:space="preserve"> (llinellau 1 i 10)</t>
  </si>
  <si>
    <t>cyfanswm Housing Revenue Account (lines 16 to 23)</t>
  </si>
  <si>
    <t>Agriculture and fisheries services</t>
  </si>
  <si>
    <t>Gwasanaethau amaethyddiaeth a physgodfeydd</t>
  </si>
  <si>
    <t xml:space="preserve"> (lines 12 to 21)</t>
  </si>
  <si>
    <t xml:space="preserve"> (llinellau 12 i 21)</t>
  </si>
  <si>
    <t>Environmental work in renewal areas</t>
  </si>
  <si>
    <t>Any queries on completion of the form or spreadsheet should be directed to Frank Kelly or Anthony Newby via telephone or e-mail, as detailed below.</t>
  </si>
  <si>
    <t>Dylid cyfeirio pob ymholiad ynghylch llenwi'r ffurflen neu'r daenlen at Frank Kelly neu Anthony Newby, dros y ffôn neu drwy e-bost, yn unol â'r manylion isod.</t>
  </si>
  <si>
    <t xml:space="preserve"> (lines 23 to 32)</t>
  </si>
  <si>
    <t xml:space="preserve"> (llinellau 23 i 32)</t>
  </si>
  <si>
    <t>Group repair</t>
  </si>
  <si>
    <t>Appropriations to(+) / from(-) Accumulated Absences Account</t>
  </si>
  <si>
    <t>Dyraniadau i(+) / o(-) Gyfrif Absenoldebau Cronnus</t>
  </si>
  <si>
    <t xml:space="preserve"> (lines 250 to 259)</t>
  </si>
  <si>
    <t xml:space="preserve"> (llinellau 250 i 259)</t>
  </si>
  <si>
    <t>Slum clearance</t>
  </si>
  <si>
    <t>Appropriations to(+) / from(-) earmarked financial reserves (excluding schools' financial reserves)</t>
  </si>
  <si>
    <t>Dyraniadau i(+) / o(-) gronfeydd wrth gefn wedi'u clustnodi (ac eithrio cronfeydd wrth gefn ysgolion)</t>
  </si>
  <si>
    <t xml:space="preserve"> (lines 210+11+22+33+260)</t>
  </si>
  <si>
    <t xml:space="preserve"> (llinellau 210+11+22+33+260)</t>
  </si>
  <si>
    <t>Low cost home ownership (non-HRA)</t>
  </si>
  <si>
    <t>Appropriations to(+) / from(-) financial instruments adjustment account</t>
  </si>
  <si>
    <t>Dyraniadau i(+) / o(-) gyfrif addasu offerynnau ariannol</t>
  </si>
  <si>
    <t xml:space="preserve"> (lines 210+300+310+316.1+320+330+340)</t>
  </si>
  <si>
    <t xml:space="preserve"> (llinellau 210+300+310+316.1+320+330+340)</t>
  </si>
  <si>
    <t>Other council fund housing</t>
  </si>
  <si>
    <t>Appropriations to(+) / from(-) unallocated financial reserves</t>
  </si>
  <si>
    <t>Dyraniadau i(+) / o(-) gronfeydd wrth gefn heb eu clustnodi</t>
  </si>
  <si>
    <t xml:space="preserve"> (lines 11+301+311+316.2+321+331+341)</t>
  </si>
  <si>
    <t xml:space="preserve"> (llinellau 11+301+311+316.2+321+331+341)</t>
  </si>
  <si>
    <t>Renovation grants</t>
  </si>
  <si>
    <t>Appropriations to(+) / from(-) unequal pay back pay account</t>
  </si>
  <si>
    <t>Dyraniadau i(+) / o(-) gyfrif ôl-dalu tâl anghyfartal</t>
  </si>
  <si>
    <t xml:space="preserve"> (lines 22+302+312+316.3+322+332+342)</t>
  </si>
  <si>
    <t xml:space="preserve"> (llinellau 22+302+312+316.3+322+332+342)</t>
  </si>
  <si>
    <t>Other grants</t>
  </si>
  <si>
    <t>Appropriations to(+)/ from(-) financial instruments adjustment account</t>
  </si>
  <si>
    <t xml:space="preserve"> (lines 33+303+313+316.4+323+333+343)</t>
  </si>
  <si>
    <t xml:space="preserve"> (llinellau 33+303+313+316.4+323+333+343)</t>
  </si>
  <si>
    <t>cyfanswm council fund housing (lines 25 to 31)</t>
  </si>
  <si>
    <t>Asylum seekers grant</t>
  </si>
  <si>
    <t>Grant ceiswyr lloches</t>
  </si>
  <si>
    <t xml:space="preserve"> (lines 260+304+314+316.5+324+334+344)</t>
  </si>
  <si>
    <t xml:space="preserve"> (llinellau 260+304+314+316.5+324+334+344)</t>
  </si>
  <si>
    <t>Lending to registered social landlords</t>
  </si>
  <si>
    <t>At 1 April</t>
  </si>
  <si>
    <t>Ar 1 Ebrill</t>
  </si>
  <si>
    <t xml:space="preserve"> (lines 360+370+380+390+400+410)</t>
  </si>
  <si>
    <t xml:space="preserve"> (llinellau 360+370+380+390+400+410)</t>
  </si>
  <si>
    <t>Lending to other borrowers</t>
  </si>
  <si>
    <t>At 31 March</t>
  </si>
  <si>
    <t>Ar 31 Mawrth</t>
  </si>
  <si>
    <t xml:space="preserve"> (lines 361+371+381+391+401+411)</t>
  </si>
  <si>
    <t xml:space="preserve"> (llinellau 361+371+381+391+401+411)</t>
  </si>
  <si>
    <t>cyfanswm housing / SDA Act advances (lines 33 and 34)</t>
  </si>
  <si>
    <t>Autistic spectrum disorder (education)</t>
  </si>
  <si>
    <t>Anhwylder ar y sbectrwm awtistig (addysg)</t>
  </si>
  <si>
    <t xml:space="preserve"> (lines 362+372+382+392+402+412)</t>
  </si>
  <si>
    <t xml:space="preserve"> (llinellau 362+372+382+392+402+412)</t>
  </si>
  <si>
    <t>cyfanswm housing (lines 24+32+35)</t>
  </si>
  <si>
    <t>Autistic spectrum disorder (social services)</t>
  </si>
  <si>
    <t>Anhwylder ar y sbectrwm awtistig (gwasanaethau cymdeithasol)</t>
  </si>
  <si>
    <t xml:space="preserve"> (lines 363+373+383+393+403+413)</t>
  </si>
  <si>
    <t xml:space="preserve"> (llinellau 363+373+383+393+403+413)</t>
  </si>
  <si>
    <t>Library services</t>
  </si>
  <si>
    <t>Autistic spectrum disorder grant (other)</t>
  </si>
  <si>
    <t>Anhwylder ar y sbectrwm awtistig (arall)</t>
  </si>
  <si>
    <t xml:space="preserve"> (lines 364+374+384+394+404+414)</t>
  </si>
  <si>
    <t xml:space="preserve"> (llinellau 364+374+384+394+404+414)</t>
  </si>
  <si>
    <t>Museums and galleries</t>
  </si>
  <si>
    <t>Big lottery fund</t>
  </si>
  <si>
    <t>Y Gronfa Loteri Fawr</t>
  </si>
  <si>
    <t xml:space="preserve"> (lines 350+420)</t>
  </si>
  <si>
    <t xml:space="preserve"> (llinellau 350+420)</t>
  </si>
  <si>
    <t>Arts activities and facilities (including theatres)</t>
  </si>
  <si>
    <t>Big lottery fund (education)</t>
  </si>
  <si>
    <t>Y Gronfa Loteri Fawr (addysg)</t>
  </si>
  <si>
    <t xml:space="preserve"> (lines 351+421)</t>
  </si>
  <si>
    <t xml:space="preserve"> (llinellau 351+421)</t>
  </si>
  <si>
    <t>cyfanswm libraries, culture and heritage (lines 37 to 39)</t>
  </si>
  <si>
    <t>Big lottery fund (social services)</t>
  </si>
  <si>
    <t>Y Gronfa Loteroi Fawr (gwasanaethau cymdeithasol)</t>
  </si>
  <si>
    <t xml:space="preserve"> (lines 352+422)</t>
  </si>
  <si>
    <t xml:space="preserve"> (llinellau 352+422)</t>
  </si>
  <si>
    <t>Land drainage and flood prevention</t>
  </si>
  <si>
    <t>Budget requirement plus net discretionary NDR relief</t>
  </si>
  <si>
    <t>Gofyniad cyllidebol plws rhyddhad ardreth annomestig dewisol net</t>
  </si>
  <si>
    <t xml:space="preserve"> (lines 353+423)</t>
  </si>
  <si>
    <t xml:space="preserve"> (llinellau 353+423)</t>
  </si>
  <si>
    <t>Coast protection</t>
  </si>
  <si>
    <t>Budgeted net discretionary non-domestic rate (NDR) relief paid for by council fund</t>
  </si>
  <si>
    <t>Rhyddhad ardreth annomestig net wedi'i gyllidebu, a dalwyd o gronfa'r cyngor</t>
  </si>
  <si>
    <t xml:space="preserve"> (lines 354+424)</t>
  </si>
  <si>
    <t xml:space="preserve"> (llinellau 354+424)</t>
  </si>
  <si>
    <t>Other agriculture and fisheries</t>
  </si>
  <si>
    <t>Bus Revenue Support</t>
  </si>
  <si>
    <t>Cymorth Refeniw Bysiau</t>
  </si>
  <si>
    <t xml:space="preserve"> (lines 97 to 107.5)</t>
  </si>
  <si>
    <t xml:space="preserve"> (llinellau 97 i 107.5)</t>
  </si>
  <si>
    <t>cyfanswm agriculture and fisheries (lines 41 to 43)</t>
  </si>
  <si>
    <t>Bus Services Support Grant</t>
  </si>
  <si>
    <t>Grant Cymorth Gwasanaethau Bws</t>
  </si>
  <si>
    <t xml:space="preserve"> (lines 435+108)</t>
  </si>
  <si>
    <t xml:space="preserve"> (llinellau 435+108)</t>
  </si>
  <si>
    <t>Sports facilities</t>
  </si>
  <si>
    <t>Capital charges relating to construction projects</t>
  </si>
  <si>
    <t>Taliadau cyfalaf yn ymwneud â phrosiectau adeiladu</t>
  </si>
  <si>
    <t xml:space="preserve"> (line 109, column 1.10)</t>
  </si>
  <si>
    <t xml:space="preserve"> (llinell 109, colofn 1.10)</t>
  </si>
  <si>
    <t>Sports development and children's play</t>
  </si>
  <si>
    <t>Capital financing element within Private Finance Initiative (PFI) schemes</t>
  </si>
  <si>
    <t>Elfen cyllido cyfalaf cynlluniau Menter Cyllid Preifat (PFI)</t>
  </si>
  <si>
    <t xml:space="preserve"> (included in line 109, column 1.20)</t>
  </si>
  <si>
    <t xml:space="preserve"> (Wedi’i cynnwys yn llinell 109, colofn 1.20)</t>
  </si>
  <si>
    <t>cyfanswm sport and recreation (lines 46 and 47)</t>
  </si>
  <si>
    <t>Central services</t>
  </si>
  <si>
    <t>Gwasanaethau canolog</t>
  </si>
  <si>
    <t xml:space="preserve"> (line 109, columns 1.20, 2 and 3, less line 125)</t>
  </si>
  <si>
    <t xml:space="preserve"> (llinell 109, colofn 1.20, 2 and 3, - llinell 125)</t>
  </si>
  <si>
    <t>Derelict land reclamation (grant aided)</t>
  </si>
  <si>
    <t>Change excluding transfers in</t>
  </si>
  <si>
    <t>Newid, ac eithrio trosglwyddiadau i mewn</t>
  </si>
  <si>
    <t>(1.1)+(1.2)+(2)+(3)</t>
  </si>
  <si>
    <t>Parks and open spaces</t>
  </si>
  <si>
    <t>Change in</t>
  </si>
  <si>
    <t>Newid, i mewn</t>
  </si>
  <si>
    <t>Waste collection</t>
  </si>
  <si>
    <t>Check net expenditure balances to zero</t>
  </si>
  <si>
    <t>Gwirio bod y gwariant net yn mantoli i sero</t>
  </si>
  <si>
    <t>(6.1)+(6.2)+(7)</t>
  </si>
  <si>
    <t>Waste disposal</t>
  </si>
  <si>
    <t>Communities First (education)</t>
  </si>
  <si>
    <t>Cymunedau yn Gyntaf (addysg)</t>
  </si>
  <si>
    <t>(5)+(8)</t>
  </si>
  <si>
    <t>Trade Waste</t>
  </si>
  <si>
    <t>Communities First (social services)</t>
  </si>
  <si>
    <t>Cymunedau yn Gyntaf (gwasanaethau cymdeithasol)</t>
  </si>
  <si>
    <t xml:space="preserve">  (lines 2.1 to 2.3)</t>
  </si>
  <si>
    <t xml:space="preserve">  (llinellau 2.1 i 2.3)</t>
  </si>
  <si>
    <t>Recycling</t>
  </si>
  <si>
    <t xml:space="preserve">Community cohesion fund </t>
  </si>
  <si>
    <t>Cronfa cydlyniant cymunedol</t>
  </si>
  <si>
    <t xml:space="preserve"> (lines 3.1 to 3.3)</t>
  </si>
  <si>
    <t xml:space="preserve"> (llinellau 3.1 i 3.3)</t>
  </si>
  <si>
    <t>Waste Minimisation</t>
  </si>
  <si>
    <t>Community development (county and county borough councils)</t>
  </si>
  <si>
    <t>Datblygu cymunedol (cynghorau sir a chynghorau bwrdeistref sirol)</t>
  </si>
  <si>
    <t xml:space="preserve"> (lines 16 to 17.1)</t>
  </si>
  <si>
    <t xml:space="preserve"> (llinellau 16 i 17.1)</t>
  </si>
  <si>
    <t>Climate Change Costs</t>
  </si>
  <si>
    <t>Community fire safety (fire authorities only)</t>
  </si>
  <si>
    <t>Diogelwch tân cymunedol</t>
  </si>
  <si>
    <t xml:space="preserve"> (lines 2+3+13+14+15+19)</t>
  </si>
  <si>
    <t xml:space="preserve"> (llinellau 2+3+13+14+15+19)</t>
  </si>
  <si>
    <t>General administration</t>
  </si>
  <si>
    <t>Community focused schools</t>
  </si>
  <si>
    <t>Ysgolion bro</t>
  </si>
  <si>
    <t xml:space="preserve"> (lines 25+26+29)</t>
  </si>
  <si>
    <t xml:space="preserve"> (llinellau 25+26+29)</t>
  </si>
  <si>
    <t>Planning and development (including Gypsy sites)</t>
  </si>
  <si>
    <t>Community learning</t>
  </si>
  <si>
    <t>Dysgu cymunedol</t>
  </si>
  <si>
    <t xml:space="preserve"> (lines 24+32+33)</t>
  </si>
  <si>
    <t xml:space="preserve"> (llinellau 24+32+33)</t>
  </si>
  <si>
    <t>Community safety</t>
  </si>
  <si>
    <t>Community purposes (housing)</t>
  </si>
  <si>
    <t>Dibenion cymunedol (tai)</t>
  </si>
  <si>
    <t xml:space="preserve"> (lines 1+21+34)</t>
  </si>
  <si>
    <t xml:space="preserve"> (llinellau 1+21+34)</t>
  </si>
  <si>
    <t>Community safety (CCTV)</t>
  </si>
  <si>
    <t>Community purposes (other)</t>
  </si>
  <si>
    <t>Dibenion cymunedol (arall)</t>
  </si>
  <si>
    <t xml:space="preserve"> (included in line 35, column 1)</t>
  </si>
  <si>
    <t xml:space="preserve"> (Wedi’i cynnwys yn llinell 35, colofn 1)</t>
  </si>
  <si>
    <t>Regulatory services (Environmental health)</t>
  </si>
  <si>
    <t>Community purposes (social services)</t>
  </si>
  <si>
    <t>Dibenion cymunedol (gwasanaethau cymdeithasol)</t>
  </si>
  <si>
    <t>(1)+(2)+(3)</t>
  </si>
  <si>
    <t>Regulatory services (Trading Standards)</t>
  </si>
  <si>
    <t>Community safety - crime reduction (excluding CCTV)</t>
  </si>
  <si>
    <t>Diogelwch cymunedol - gostwng troseddu (ac eithrio teledu cylch cyfyng)</t>
  </si>
  <si>
    <t>Miscellaneous</t>
  </si>
  <si>
    <t>Community safety - safety services</t>
  </si>
  <si>
    <t>Diogelwch cymunedol - gwasanaethau diogelwch</t>
  </si>
  <si>
    <t>Industrial and commercial</t>
  </si>
  <si>
    <t>Conservation</t>
  </si>
  <si>
    <t>Cadwraeth</t>
  </si>
  <si>
    <t xml:space="preserve"> (lines 6 to 9)</t>
  </si>
  <si>
    <t xml:space="preserve"> (llinellau 6 i 9)</t>
  </si>
  <si>
    <t>Other trading services</t>
  </si>
  <si>
    <t>Contribution from(+) / to(-) HRA to(+) / from(-) council fund</t>
  </si>
  <si>
    <t>Cyfraniad o(+) / i(-) y Cyfrif Refeniw Tai (HRA) i(+) / o(-) gronfa'r cyngor</t>
  </si>
  <si>
    <t xml:space="preserve"> (lines 13 to 16)</t>
  </si>
  <si>
    <t xml:space="preserve"> (llinellau 13 i 16)</t>
  </si>
  <si>
    <t>cyfanswm other environmental services (lines 49 to 59)</t>
  </si>
  <si>
    <t>Contribution to(+) / from(-) the HRA (re items shared by the whole community)</t>
  </si>
  <si>
    <t xml:space="preserve">Cyfraniad i(+) / o(-) yr HRA (ar gyfer eitemau a rennir gan y gymuned gyfan) </t>
  </si>
  <si>
    <t xml:space="preserve"> (lines 21.4 to 21.6)</t>
  </si>
  <si>
    <t xml:space="preserve"> (llinellau 21.4 i 21.6)</t>
  </si>
  <si>
    <t>Coroners' courts services</t>
  </si>
  <si>
    <t>Gwasanaethau llysoedd y crwneriaid</t>
  </si>
  <si>
    <t xml:space="preserve"> (lines 25.4 to 25.42)</t>
  </si>
  <si>
    <t xml:space="preserve"> (llinellau 25.4 i 25.42)</t>
  </si>
  <si>
    <t>Corporate and democratic core costs</t>
  </si>
  <si>
    <t>Costau craidd democrataidd a chorfforaethol</t>
  </si>
  <si>
    <t xml:space="preserve"> (lines 25.6 to 25.7)</t>
  </si>
  <si>
    <t xml:space="preserve"> (llinellau 25.6 i 25.7)</t>
  </si>
  <si>
    <t>Coroners' courts</t>
  </si>
  <si>
    <t>Council tax collection</t>
  </si>
  <si>
    <t>Casglu'r dreth gyngor</t>
  </si>
  <si>
    <t xml:space="preserve"> (lines 1.1+10+17+21+21.7+25+25.49+25.8)</t>
  </si>
  <si>
    <t xml:space="preserve"> (llinellau 1.1+10+17+21+21.7+25+25.49+25.8)</t>
  </si>
  <si>
    <t>cyfanswm law, order and protective services (lines 61 to 63)</t>
  </si>
  <si>
    <t>Council tax reduction scheme (excluding that amount financed by RSG)</t>
  </si>
  <si>
    <t>Cynllun gostyngiadau'r dreth gyngor (ac eithrio'r swm a gaiff ei gyllido gan y GCR)</t>
  </si>
  <si>
    <t xml:space="preserve"> (lines 27 to 36)</t>
  </si>
  <si>
    <t xml:space="preserve"> (llinellau 27 i 36)</t>
  </si>
  <si>
    <t>cyfanswm all services (lines 6+7+15+36+40+44+48+60+65)</t>
  </si>
  <si>
    <t>Council tax reduction scheme (including RSG element)</t>
  </si>
  <si>
    <t>Cynllun gostyngiadau'r dreth gyngor (gan gynnwys yr elfen Grant Cynnal Refeniw)</t>
  </si>
  <si>
    <t xml:space="preserve"> (lines 38 to 47)</t>
  </si>
  <si>
    <t xml:space="preserve"> (llinellau 38 i 47)</t>
  </si>
  <si>
    <t>Figures in blue are calculated, the cells are protected.</t>
  </si>
  <si>
    <t>Council tax reduction scheme administration</t>
  </si>
  <si>
    <t>Gweinyddu cynllun gostyngiadau'r dreth gyngor</t>
  </si>
  <si>
    <t xml:space="preserve"> (lines 49 to 58)</t>
  </si>
  <si>
    <t xml:space="preserve"> (llinellau 49 i 58)</t>
  </si>
  <si>
    <t>(1)</t>
  </si>
  <si>
    <t>Acquisition of land and existing buildings</t>
  </si>
  <si>
    <t>Council tax reduction scheme administration grant</t>
  </si>
  <si>
    <t>Grant gweinyddu cynllun gostyngiadau'r dreth gyngor</t>
  </si>
  <si>
    <t xml:space="preserve"> (lines 60 to 69)</t>
  </si>
  <si>
    <t xml:space="preserve"> (llinellau 60 i 69)</t>
  </si>
  <si>
    <t>New construction, conversion and renovation</t>
  </si>
  <si>
    <t>Countryside council for Wales</t>
  </si>
  <si>
    <t>Cyngor Cefn Gwlad Cymru</t>
  </si>
  <si>
    <t xml:space="preserve"> (lines 76 to 80)</t>
  </si>
  <si>
    <t xml:space="preserve"> (llinellau 76 i 80)</t>
  </si>
  <si>
    <t>Vehicles</t>
  </si>
  <si>
    <t>Crime reduction &amp; anti social behaviour fund</t>
  </si>
  <si>
    <t>Cronfa gostwng troseddu ac ymddygiad gwrthgymdeithasol</t>
  </si>
  <si>
    <t xml:space="preserve"> (lines 48+59+70+81)</t>
  </si>
  <si>
    <t xml:space="preserve"> (llinellau 48+59+70+81)</t>
  </si>
  <si>
    <t>Plant machinery and equipment</t>
  </si>
  <si>
    <t>Culture and Heritage (including CyMAL Innovation and Development Grants)</t>
  </si>
  <si>
    <t>Diwyllliant a Threftadaeth (gan gynnwys Grantiau Arleosi a Datblygu CyMAL</t>
  </si>
  <si>
    <t xml:space="preserve"> (lines 26+26.5+37+82)</t>
  </si>
  <si>
    <t xml:space="preserve"> (llinellau 26+26.5+37+82)</t>
  </si>
  <si>
    <t>(5)</t>
  </si>
  <si>
    <t>cyfanswm expenditure on fixed assets</t>
  </si>
  <si>
    <t>Debt financing grants</t>
  </si>
  <si>
    <t>Grantiau cyllido dyledion</t>
  </si>
  <si>
    <t xml:space="preserve"> (included in line 84, columns 1a and 1b)</t>
  </si>
  <si>
    <t xml:space="preserve"> (Wedi’i cynnwys yn llinell 84, colofn 1a and 1b)</t>
  </si>
  <si>
    <t>(6)</t>
  </si>
  <si>
    <t>Capital grants</t>
  </si>
  <si>
    <t>(7)</t>
  </si>
  <si>
    <t>Capital advances</t>
  </si>
  <si>
    <t>(8)</t>
  </si>
  <si>
    <t>Intangible fixed assets</t>
  </si>
  <si>
    <t>Delegated Expenditure</t>
  </si>
  <si>
    <t>Gwariant wedi'i Ddirprwyo</t>
  </si>
  <si>
    <t>(9) = (5 to 8)</t>
  </si>
  <si>
    <t>cyfanswm capital expenditure</t>
  </si>
  <si>
    <t>Delivering Transformation</t>
  </si>
  <si>
    <t>Cyflawni Trawsnewid</t>
  </si>
  <si>
    <t>(10)</t>
  </si>
  <si>
    <t>Sale of fixed assets</t>
  </si>
  <si>
    <t>Domestic abuse</t>
  </si>
  <si>
    <t>Cam-drin Domestig</t>
  </si>
  <si>
    <t xml:space="preserve"> (lines 1 to 5)</t>
  </si>
  <si>
    <t xml:space="preserve"> (llinellau 1 i 5)</t>
  </si>
  <si>
    <t>(11)</t>
  </si>
  <si>
    <t>Repayments of capital advances and grants</t>
  </si>
  <si>
    <t>Domestic Abuse Service Grant - DAC &amp; IDVA</t>
  </si>
  <si>
    <t>Grant Gwasanaeth Cam-drin Domestig - Cydgysylltwyr Cam-drin Domestig a Chynghorwyr Annibynnol ar Drais Domestig</t>
  </si>
  <si>
    <t xml:space="preserve"> (lines 6+7+10+11+12)</t>
  </si>
  <si>
    <t xml:space="preserve"> (llinellau 6+7+10+11+12)</t>
  </si>
  <si>
    <t>(13) = (10 + 11)</t>
  </si>
  <si>
    <t>cyfanswm receipts</t>
  </si>
  <si>
    <t xml:space="preserve"> (included in line 13, column 1)</t>
  </si>
  <si>
    <t xml:space="preserve"> (Wedi’i cynnwys yn llinell 13, colofn 1)</t>
  </si>
  <si>
    <t>(14)</t>
  </si>
  <si>
    <t>Assets not funded by LA capital expenditure</t>
  </si>
  <si>
    <t>Education expenditure</t>
  </si>
  <si>
    <t>Gwariant addysg</t>
  </si>
  <si>
    <t xml:space="preserve"> (lines 3+6.1)</t>
  </si>
  <si>
    <t xml:space="preserve"> (llinellau 3+6.1)</t>
  </si>
  <si>
    <t>Capital expenditure and receipts</t>
  </si>
  <si>
    <t>Education Improvement Grant for Schools</t>
  </si>
  <si>
    <t>Grant Gwella Addysg ar gyfer ysgolion</t>
  </si>
  <si>
    <t xml:space="preserve"> (line 11.5 to 12)</t>
  </si>
  <si>
    <t xml:space="preserve"> (llinell 11.5 i 12)</t>
  </si>
  <si>
    <t>Expenditure</t>
  </si>
  <si>
    <t>Education of gypsy children and traveller children</t>
  </si>
  <si>
    <t>Addysg plant sipsiwn a phlant teithwyr</t>
  </si>
  <si>
    <t xml:space="preserve"> (lines 25.1 to 25.55)</t>
  </si>
  <si>
    <t xml:space="preserve"> (llinellau 25.1 i 25.55)</t>
  </si>
  <si>
    <t>Receipts</t>
  </si>
  <si>
    <t>EEC milk grant</t>
  </si>
  <si>
    <t>Grant llefrith y Gymuned Economaidd Ewropeaidd</t>
  </si>
  <si>
    <t xml:space="preserve"> (lines 1+2+7+8+13+14+19+22+25.6)</t>
  </si>
  <si>
    <t xml:space="preserve"> (llinellau 1+2+7+8+13+14+19+22+25.6)</t>
  </si>
  <si>
    <t>Memo</t>
  </si>
  <si>
    <t>Elections</t>
  </si>
  <si>
    <t>Etholiadau</t>
  </si>
  <si>
    <t xml:space="preserve"> (included in line 29, column 1)</t>
  </si>
  <si>
    <t xml:space="preserve"> (Wedi’i cynnwys yn llinell 29, colofn 1)</t>
  </si>
  <si>
    <t>£ thousand</t>
  </si>
  <si>
    <t>E-mail (please enter N/A if unavailable):</t>
  </si>
  <si>
    <t>E-bost (rhowch Amh os nad yw ar gael):</t>
  </si>
  <si>
    <t xml:space="preserve"> (lines 1 to 13)</t>
  </si>
  <si>
    <t xml:space="preserve"> (llinellau 1 i 13)</t>
  </si>
  <si>
    <t>Emergency planning</t>
  </si>
  <si>
    <t>Cynllunio at argyfwng</t>
  </si>
  <si>
    <t xml:space="preserve"> (lines 15+16)</t>
  </si>
  <si>
    <t xml:space="preserve"> (llinellau 15+16)</t>
  </si>
  <si>
    <t>COR4</t>
  </si>
  <si>
    <t>COR 4:         Capital outturn 4</t>
  </si>
  <si>
    <t>Employee costs</t>
  </si>
  <si>
    <t>Costau cyflogeion</t>
  </si>
  <si>
    <t xml:space="preserve"> (included in line 14, column 1)</t>
  </si>
  <si>
    <t xml:space="preserve"> (Wedi’i cynnwys yn llinell 14, colofn 1)</t>
  </si>
  <si>
    <t>Financing of capital expenditure and capital account summary, 2014-15</t>
  </si>
  <si>
    <t>Enter data in £ thousands</t>
  </si>
  <si>
    <t>Cofnodwch y data mewn £ miloedd</t>
  </si>
  <si>
    <t xml:space="preserve"> (included in line 17, column 1)</t>
  </si>
  <si>
    <t xml:space="preserve"> (Wedi’i cynnwys yn llinell 17, colofn 1)</t>
  </si>
  <si>
    <t>Service block (COR 1-2 corresponding references)</t>
  </si>
  <si>
    <t>Environmental health - food safety</t>
  </si>
  <si>
    <t>Iechyd yr amgylchedd - diogelwch bwyd</t>
  </si>
  <si>
    <t xml:space="preserve"> (lines 1 to 18)</t>
  </si>
  <si>
    <t xml:space="preserve"> (llinellau 1 i 18)</t>
  </si>
  <si>
    <t>Education (line 6)</t>
  </si>
  <si>
    <t>Equal pay costs</t>
  </si>
  <si>
    <t>Costau cyflog cyfartal</t>
  </si>
  <si>
    <t xml:space="preserve"> (lines 19 to 24)</t>
  </si>
  <si>
    <t xml:space="preserve"> (llinellau 19 i 24)</t>
  </si>
  <si>
    <t>Social services (line 7)</t>
  </si>
  <si>
    <t>Ethnic minority achievement</t>
  </si>
  <si>
    <t>Cyflawniad lleiafrifoedd ethnig</t>
  </si>
  <si>
    <t xml:space="preserve"> (lines 18.5+25)</t>
  </si>
  <si>
    <t xml:space="preserve"> (llinellau 18.5+25)</t>
  </si>
  <si>
    <t>Transport (line 15)</t>
  </si>
  <si>
    <t>EU milk grant</t>
  </si>
  <si>
    <t>Grant llefrith yr UE</t>
  </si>
  <si>
    <t xml:space="preserve"> (- line 24)</t>
  </si>
  <si>
    <t xml:space="preserve"> (- llinell 24)</t>
  </si>
  <si>
    <t>Housing (line 36)</t>
  </si>
  <si>
    <t>European community grants for education</t>
  </si>
  <si>
    <t xml:space="preserve">Grantiau'r Gymuned Ewropeaidd ar gyfer addysg </t>
  </si>
  <si>
    <t xml:space="preserve"> (column 10, lines 27 to 31)</t>
  </si>
  <si>
    <t xml:space="preserve"> (colofn 10, llinellau 27 i 31)</t>
  </si>
  <si>
    <t>Libraries, culture and heritage (line 40)</t>
  </si>
  <si>
    <t>European community grants for other local services (Objective 1 etc.)</t>
  </si>
  <si>
    <t xml:space="preserve">Grantiau'r Gymuned Ewropeaidd ar gyfer gwasanaethau lleol eraill (Amcan 1 etc) </t>
  </si>
  <si>
    <t xml:space="preserve"> (included in line 26, column 1)</t>
  </si>
  <si>
    <t xml:space="preserve"> (Wedi’i cynnwys yn llinell 26, colofn 1)</t>
  </si>
  <si>
    <t>Agriculture and fisheries (line 44)</t>
  </si>
  <si>
    <t>European Social Fund - COASTAL</t>
  </si>
  <si>
    <t>Cronfa Gymdeithasol Ewrop - ARFORDIROL</t>
  </si>
  <si>
    <t xml:space="preserve"> (lines 1 to 6)</t>
  </si>
  <si>
    <t xml:space="preserve"> (llinellau 1 i 6)</t>
  </si>
  <si>
    <t>Sport and recreation (line 48)</t>
  </si>
  <si>
    <t>European Union grants for education</t>
  </si>
  <si>
    <t>Grantiau'r Undeb Ewropeaidd ar gyfer addysg</t>
  </si>
  <si>
    <t xml:space="preserve"> (lines 7+15)</t>
  </si>
  <si>
    <t xml:space="preserve"> (llinellau 7+15)</t>
  </si>
  <si>
    <t>Other environmental services (line 60)</t>
  </si>
  <si>
    <t>Expenditure Check</t>
  </si>
  <si>
    <t>Gwririo Gwariant</t>
  </si>
  <si>
    <t xml:space="preserve"> (lines 17+18)</t>
  </si>
  <si>
    <t xml:space="preserve"> (llinellau 17+18)</t>
  </si>
  <si>
    <t>Fire and rescue service (line 61)</t>
  </si>
  <si>
    <t>Expenditure supported by the Environment Development Fund</t>
  </si>
  <si>
    <t>Gwariant a gefnogwyd gan Gronfa Datblygu'r Amgylchedd</t>
  </si>
  <si>
    <t xml:space="preserve"> (lines 20 to 28)</t>
  </si>
  <si>
    <t xml:space="preserve"> (llinellau 20 i 28)</t>
  </si>
  <si>
    <t>Police service (line 62)</t>
  </si>
  <si>
    <t>Explanation</t>
  </si>
  <si>
    <t>Esboniad</t>
  </si>
  <si>
    <t xml:space="preserve"> (included in lines 16, 19, 29 and 30, column 1)</t>
  </si>
  <si>
    <t xml:space="preserve"> (Wedi’i cynnwys yn llinellau 16, 19, 29 and 30, colofn 1)</t>
  </si>
  <si>
    <t>Courts (line 63)</t>
  </si>
  <si>
    <t>External interest payments excluding any premia and discounts on debt rescheduling</t>
  </si>
  <si>
    <t>Taliadau llog allanol ac eithrio unrhyw bremiymau a disgowntiau ar aildrefnu dyled</t>
  </si>
  <si>
    <t xml:space="preserve"> (14-19)</t>
  </si>
  <si>
    <t>cyfanswm expenditure / receipts (accruals) (lines 1 to 11)</t>
  </si>
  <si>
    <t>External interest receipts on non-HRA balances</t>
  </si>
  <si>
    <t>Derbyniadau llog allanol ar falansau heblaw rhai HRA</t>
  </si>
  <si>
    <t xml:space="preserve"> (lines 199, 299, 399, 499, 599 &amp; 699)</t>
  </si>
  <si>
    <t xml:space="preserve"> (llinellau 199, 299, 399, 499, 599 &amp; 699)</t>
  </si>
  <si>
    <t>cyfanswm expenditure treated as capital expenditure by virtue of a section 16(2)(b) direction (cyfanswm column 4, lines 1 to 11)</t>
  </si>
  <si>
    <t xml:space="preserve">Families First/Cymorth: other local services </t>
  </si>
  <si>
    <t>Teuluoedd yn Gyntaf/Cymorth: gwasanaethau lleol eraill</t>
  </si>
  <si>
    <t xml:space="preserve"> (llinellau 198, 298, 398, 498, 598 &amp; 698)</t>
  </si>
  <si>
    <t>Large Scale Voluntary Transfer (LSVT) levy</t>
  </si>
  <si>
    <t>Families First (education)</t>
  </si>
  <si>
    <t>Teuluoedd yn Gyntaf: wedi'i wario ar addysg</t>
  </si>
  <si>
    <t xml:space="preserve"> (lines 1.1 to 1.9)</t>
  </si>
  <si>
    <t xml:space="preserve"> (llinellau 1.1 i 1.9)</t>
  </si>
  <si>
    <t>cyfanswm expenditure and other transactions (cyfanswm lines 12 to 14, column 3)</t>
  </si>
  <si>
    <t>Families First (social services)</t>
  </si>
  <si>
    <t>Teuluoedd yn Gyntaf: wedi'i wario ar wasanaethau cymdeithasol</t>
  </si>
  <si>
    <t xml:space="preserve"> (lines 7 to 10)</t>
  </si>
  <si>
    <t xml:space="preserve"> (llinellau 7 i 10)</t>
  </si>
  <si>
    <t>Family learning</t>
  </si>
  <si>
    <t>Dysgu i'r teulu</t>
  </si>
  <si>
    <t xml:space="preserve"> (included in lines 6 and 11, column 1)</t>
  </si>
  <si>
    <t xml:space="preserve"> (Wedi’i cynnwys yn llinellau 6 and 11, colofn 1)</t>
  </si>
  <si>
    <t>Acquisition of share or loan capital</t>
  </si>
  <si>
    <t>Fire and Rescue Services</t>
  </si>
  <si>
    <t>Gwasanaethau tȃn ac achub</t>
  </si>
  <si>
    <t xml:space="preserve"> (lines 1+2+5)</t>
  </si>
  <si>
    <t xml:space="preserve"> (llinellau 1+2+5)</t>
  </si>
  <si>
    <t>(3) = (1) + (2)</t>
  </si>
  <si>
    <t>Flood and Coastal Erosion Risk Management</t>
  </si>
  <si>
    <t>Rheoli Perygl Llifogydd ac Erydu Arfordirol</t>
  </si>
  <si>
    <t xml:space="preserve"> (lines 7+8)</t>
  </si>
  <si>
    <t xml:space="preserve"> (llinellau 7+8)</t>
  </si>
  <si>
    <t>Expenditure by section 16(2) direction</t>
  </si>
  <si>
    <t>Flood defence and land drainage</t>
  </si>
  <si>
    <t>Amddiffyn rhag llifogydd a draenio'r tir</t>
  </si>
  <si>
    <t xml:space="preserve"> (lines 10+11)</t>
  </si>
  <si>
    <t xml:space="preserve"> (llinellau 10+11)</t>
  </si>
  <si>
    <t>Flying start (education)</t>
  </si>
  <si>
    <t>Dechrau'n Deg (addysg)</t>
  </si>
  <si>
    <t xml:space="preserve"> (lines 6+9+12)</t>
  </si>
  <si>
    <t xml:space="preserve"> (llinellau 6+9+12)</t>
  </si>
  <si>
    <t>Disposal of share or loan capital</t>
  </si>
  <si>
    <t>Flying Start (social services)</t>
  </si>
  <si>
    <t>Dechrau'n Deg (gwasanaethau cymdeithasol)</t>
  </si>
  <si>
    <t xml:space="preserve"> (lines 14 to 23)</t>
  </si>
  <si>
    <t xml:space="preserve"> (llinellau 14 i 23)</t>
  </si>
  <si>
    <t>(8) = (6) + (7)</t>
  </si>
  <si>
    <t>For return by 29 July</t>
  </si>
  <si>
    <t>I'w ddychwelyd erbyn 29 Gorffennaf</t>
  </si>
  <si>
    <t xml:space="preserve"> (included in line 13 , column 1)</t>
  </si>
  <si>
    <t xml:space="preserve"> (Wedi’i cynnwys yn llinell 13 , colofn 1)</t>
  </si>
  <si>
    <t>Foundation phase</t>
  </si>
  <si>
    <t>Y Cyfnod Sylfaen</t>
  </si>
  <si>
    <t xml:space="preserve"> (lines 1 +2)</t>
  </si>
  <si>
    <t xml:space="preserve"> (llinellau 1 +2)</t>
  </si>
  <si>
    <t>COR4FIN</t>
  </si>
  <si>
    <t>General grants, bequests and donations</t>
  </si>
  <si>
    <t>Grantiau, cymynroddion a rhoddion cyffredinol</t>
  </si>
  <si>
    <t xml:space="preserve"> (lines 3+4.1 to 4.5+13)</t>
  </si>
  <si>
    <t xml:space="preserve"> (llinellau 3+4.1 i 4.5+13)</t>
  </si>
  <si>
    <t>COR 4: Capital outturn 4</t>
  </si>
  <si>
    <t>Grant is more than expenditure</t>
  </si>
  <si>
    <t>Grant yn fwy na'r gwariant</t>
  </si>
  <si>
    <t>Highways, Roads and Transport</t>
  </si>
  <si>
    <t>Priffyrdd, ffyrdd a thrafnidiaeth</t>
  </si>
  <si>
    <t xml:space="preserve"> (lines 18+19)</t>
  </si>
  <si>
    <t xml:space="preserve"> (llinellau 18+19)</t>
  </si>
  <si>
    <t>cyfanswm capital expenditure and receipts:</t>
  </si>
  <si>
    <t>Housing</t>
  </si>
  <si>
    <t>Tai</t>
  </si>
  <si>
    <t xml:space="preserve"> (lines 14+17+20)</t>
  </si>
  <si>
    <t xml:space="preserve"> (llinellau 14+17+20)</t>
  </si>
  <si>
    <t>cyfanswm capital expenditure (COR4, line 15, column 3)</t>
  </si>
  <si>
    <t>Housing benefit administration grant</t>
  </si>
  <si>
    <t>Grant gweinyddu budd-dal tai</t>
  </si>
  <si>
    <t xml:space="preserve"> (lines 22 to 28)</t>
  </si>
  <si>
    <t xml:space="preserve"> (llinellau 22 i 28)</t>
  </si>
  <si>
    <t>Resources to be used to finance capital expenditure:</t>
  </si>
  <si>
    <t>Housing Council Fund</t>
  </si>
  <si>
    <t>Tai Cronfa'r Cyngor</t>
  </si>
  <si>
    <t xml:space="preserve"> (included in line 21, column 1)</t>
  </si>
  <si>
    <t xml:space="preserve"> (Wedi’i cynnwys yn llinell 21, colofn 1)</t>
  </si>
  <si>
    <t>Capital grants from the Welsh Government and other UK Government Departments</t>
  </si>
  <si>
    <t>Housing revenue account reconciliation</t>
  </si>
  <si>
    <t>Cysoni'r cyfrif refeniw tai (HRA)</t>
  </si>
  <si>
    <t>RO(P), line 10</t>
  </si>
  <si>
    <t>RO(P), llinell 10</t>
  </si>
  <si>
    <t>Grants from European Community Structural Funds (including ERDF)</t>
  </si>
  <si>
    <t>HRA corporate and democratic core costs</t>
  </si>
  <si>
    <t>Costau craidd corfforaethol a democrataidd  HRA</t>
  </si>
  <si>
    <t xml:space="preserve"> (lines 60 to 71)</t>
  </si>
  <si>
    <t xml:space="preserve"> (llinellau 60 to 71)</t>
  </si>
  <si>
    <t>Grants and contributions from Welsh Government sponsored public bodies / non-departmental public bodies</t>
  </si>
  <si>
    <t>HRA expenditure and income (excluding interactions with the council fund)</t>
  </si>
  <si>
    <t>Gwariant ac incwm HRA (ac eithrio rhyngweithio gyda chronfa'r cyngor)</t>
  </si>
  <si>
    <t>RG, line 700, col 2</t>
  </si>
  <si>
    <t>RG, llinell 700, col 2</t>
  </si>
  <si>
    <t>Funding from National Lottery</t>
  </si>
  <si>
    <t xml:space="preserve">HRA 'item 8' interest payments/receipts </t>
  </si>
  <si>
    <t>Taliadau/derbyniadau llog 'eitem 8' HRA</t>
  </si>
  <si>
    <t xml:space="preserve"> (lines 72 to 85)</t>
  </si>
  <si>
    <t xml:space="preserve"> (llinellau 72 to 85)</t>
  </si>
  <si>
    <t>Other grants and contributions including those from private developers</t>
  </si>
  <si>
    <t>HRA unapportionable central overheads costs</t>
  </si>
  <si>
    <t>Costau gorbenion canolog HRA na ellir eu dosrannu</t>
  </si>
  <si>
    <t xml:space="preserve"> (lines 86 and 89.5)</t>
  </si>
  <si>
    <t xml:space="preserve"> (llinellau 86 and 89.5)</t>
  </si>
  <si>
    <t>Capital grants and contributions from other sources (lines 50 to 52)</t>
  </si>
  <si>
    <t>Icelandic bank impairment</t>
  </si>
  <si>
    <t>Amhariad banciau Gwlad yr Iâ</t>
  </si>
  <si>
    <t>To equal BR1/2 form, line 1</t>
  </si>
  <si>
    <t>i cyfartal ffurflen BR1/2, llinell 1</t>
  </si>
  <si>
    <t>Use of capital receipts</t>
  </si>
  <si>
    <t>In year council tax collection – difference from budget</t>
  </si>
  <si>
    <t>Casglu'r dreth gyngor yn ystod y flwyddyn - gwahaniaeth o'r gyllideb</t>
  </si>
  <si>
    <t>BR1 form, line 2</t>
  </si>
  <si>
    <t>ffurflen BR1, llinell 2</t>
  </si>
  <si>
    <t>Major Repairs Allowance (MRA)</t>
  </si>
  <si>
    <t>Induction</t>
  </si>
  <si>
    <t>Ymsefydlu</t>
  </si>
  <si>
    <t xml:space="preserve"> (line 94+line 99)</t>
  </si>
  <si>
    <t xml:space="preserve"> (llinell 94+llinell 99)</t>
  </si>
  <si>
    <t>Capital expenditure charged to a revenue account (non-HRA)</t>
  </si>
  <si>
    <t>Information specified on these returns must be submitted under section 168 of the 1972 Local Government Act.</t>
  </si>
  <si>
    <t>Rhaid cyflwyno'r wybodaeth y gofynnir amdani yn y ffurflenni hyn o dan adran 168 o Ddeddf Llywodraeth Leol 1972.</t>
  </si>
  <si>
    <t>BR2, line 4</t>
  </si>
  <si>
    <t>BR2, llinell 4</t>
  </si>
  <si>
    <t>Capital expenditure charged to a revenue account (HRA)</t>
  </si>
  <si>
    <t>Integrated family support team</t>
  </si>
  <si>
    <t>Tîm integredig cymorth i deuluoedd</t>
  </si>
  <si>
    <t>BR1 form, line 4 / BR2, line 3</t>
  </si>
  <si>
    <t>ffurflen BR1, llinell 4 / BR2, llinell 3</t>
  </si>
  <si>
    <t>Borrowing and credit arrangements that attract central government support (non-HRA)</t>
  </si>
  <si>
    <t>Investigation</t>
  </si>
  <si>
    <t>Ymchwilio</t>
  </si>
  <si>
    <t>BR1 form, line 3 / BR2, line 2</t>
  </si>
  <si>
    <t>ffurflen BR1, llinell 3 / BR2, llinell 2</t>
  </si>
  <si>
    <t>Borrowing and credit arrangements that attract central government support (HRA)</t>
  </si>
  <si>
    <t>Is a negative expenditure figure correct?</t>
  </si>
  <si>
    <t>A yw ffigur gwariant negyddol yn gywir?</t>
  </si>
  <si>
    <t>To equal BR1, line 5 / BR2, line 6</t>
  </si>
  <si>
    <t>i cyfartal BR1, llinell 5 / BR2, llinell 6</t>
  </si>
  <si>
    <t>Borrowing and credit arrangements that attract central government support (Lines 30.1 and 30.2)</t>
  </si>
  <si>
    <t>LA animal health and welfare framework funding</t>
  </si>
  <si>
    <t xml:space="preserve">Cyllid fframwaith iechyd a lles anifeiliaid yr ALl </t>
  </si>
  <si>
    <t xml:space="preserve"> (lines 106 and 107)</t>
  </si>
  <si>
    <t xml:space="preserve"> (llinellau 106 and 107)</t>
  </si>
  <si>
    <t>Other borrowing and credit arrangements (non-HRA)</t>
  </si>
  <si>
    <t>Land Reclaimation S16</t>
  </si>
  <si>
    <t>Adfer Tir A16</t>
  </si>
  <si>
    <t>2 decimal places</t>
  </si>
  <si>
    <t>2 le degol</t>
  </si>
  <si>
    <t>Other borrowing and credit arrangements (HRA)</t>
  </si>
  <si>
    <t>Language and play</t>
  </si>
  <si>
    <t>Iaith a chwarae</t>
  </si>
  <si>
    <t>Other borrowing and credit arrangements (Lines 31.1 and 31.2)</t>
  </si>
  <si>
    <t>Lead Local Flood Authorities (LLFA) Grant</t>
  </si>
  <si>
    <t>Grant Awdurdodau Llifogydd Lleol Arweiniol (LLFA)</t>
  </si>
  <si>
    <t>cyfanswm resources used to finance capital expenditure (the sum of the figures in the white cells above)</t>
  </si>
  <si>
    <t>Learning pathways (14-19)</t>
  </si>
  <si>
    <t>Llwybrau dysgu</t>
  </si>
  <si>
    <t>PLEASE COMPLETE THE LINES BELOW ON A PFI ON-BALANCE SHEET BASIS</t>
  </si>
  <si>
    <t>Leasing payments (excluding any capital financing element within PFI schemes)</t>
  </si>
  <si>
    <t>Taliadau prydlesu (ac eithrio unrhyw elfennau cyllido cyfalaf o fewn cylluniau PFI)</t>
  </si>
  <si>
    <t>Capital financing requirement:</t>
  </si>
  <si>
    <t>less council tax reduction scheme (including RSG element)</t>
  </si>
  <si>
    <t>wedi tynnu cynllun gostyngiadau'r dreth gyngor (gan gynnwys yr elfen Grant Cynnal Refeniw)</t>
  </si>
  <si>
    <t>Capital Financing Requirement as at 1 April</t>
  </si>
  <si>
    <t>less council tax reduction scheme grant</t>
  </si>
  <si>
    <t>wedi tynnu grant cynllun gostyngiadau'r dreth gyngor</t>
  </si>
  <si>
    <t>Capital expenditure resourced by means of credit (line 30 plus line 31)</t>
  </si>
  <si>
    <t>less specific and special grants (excluding council tax reduction scheme grant)</t>
  </si>
  <si>
    <t>wedi tynnu grantiau penodol ac arbennig (ac eithrio grant cynllun gostyngiadau'r dreth gyngor)</t>
  </si>
  <si>
    <t>Minimum Revenue Provision &amp; voluntary contributions</t>
  </si>
  <si>
    <t>Levies (Police)</t>
  </si>
  <si>
    <t>Ardollau (yr Heddlu)</t>
  </si>
  <si>
    <t>Change in Capital Financing Requirement (line 34 less line 35)</t>
  </si>
  <si>
    <t>Levies income from contributing County and County Borough Councils</t>
  </si>
  <si>
    <t>Incwm Ardollau gan gynghorau Sir a Chynghorau Bwrdeistref Sirol Sy'n Cyfrannu</t>
  </si>
  <si>
    <t>Capital Financing Requirement as at 31 March (line 33 plus line 36)</t>
  </si>
  <si>
    <t>Levies paid to the Environment Agency acting as an Internal Drainage Board</t>
  </si>
  <si>
    <t>Ardollau a dalwyd i Asiantaeth yr Amgylchedd yn gweithredu fel Bwrdd Draenio Mewnol</t>
  </si>
  <si>
    <t>Borrowing, credit and investments at start of year:</t>
  </si>
  <si>
    <t>Levies paid to the Environment Agency in respect of Local Flood Defence Committees</t>
  </si>
  <si>
    <t>Ardollau a dalwyd i Asiantaeth yr Amgylchedd mewn perthynas â Phwyllgorau Lleol Amddiffyn rhag Llifogydd</t>
  </si>
  <si>
    <t>Gross borrowing as at start of year</t>
  </si>
  <si>
    <t>Local Government Financial Statistics Unit,</t>
  </si>
  <si>
    <t>Uned Ystadegau Ariannol Llywodraeth Leol,</t>
  </si>
  <si>
    <t>Other long-term liabilities as at start of year</t>
  </si>
  <si>
    <t>Local land charges</t>
  </si>
  <si>
    <t>Pridiannau tir lleol</t>
  </si>
  <si>
    <t>Investments as at start of year</t>
  </si>
  <si>
    <t>Local Transport Fund (formerly Local Transport Grant)</t>
  </si>
  <si>
    <t>Cronfa Trafnidiaeth Leol (Grant Trafnidiaeth Leol yn flaenorol)</t>
  </si>
  <si>
    <t>Borrowing, credit and investments at end of year:</t>
  </si>
  <si>
    <t>Local Welfare Assistance Schemes</t>
  </si>
  <si>
    <t>Cynlluniau Cymorth Lles Lleol</t>
  </si>
  <si>
    <t>Gross borrowing as at year end</t>
  </si>
  <si>
    <t>Mandatory rent allowances</t>
  </si>
  <si>
    <t>Lwfansau rhent gorfodol</t>
  </si>
  <si>
    <t>Other long-term liabilities as at year end</t>
  </si>
  <si>
    <t>Mandatory rent rebates (HRA)</t>
  </si>
  <si>
    <t>Ad-daliadau rhent gorfodol (HRA)</t>
  </si>
  <si>
    <t>Investments as at year end</t>
  </si>
  <si>
    <t>Name:</t>
  </si>
  <si>
    <t>Enw:</t>
  </si>
  <si>
    <t>Operational boundary and authorised limit:</t>
  </si>
  <si>
    <t>Grant Parciau Cenedlaethol (awdurdodau parciau cenedlaethol yn unig)</t>
  </si>
  <si>
    <t>Operational boundary for external debt as at start of year</t>
  </si>
  <si>
    <t>Authorised limit for external debt as at start of year</t>
  </si>
  <si>
    <t>Operational boundary for external debt as at year end</t>
  </si>
  <si>
    <t>Authorised limit for external debt as at year end</t>
  </si>
  <si>
    <t>Natural Resources Wales (formerly Countryside Council for Wales)</t>
  </si>
  <si>
    <t>Cyfoeth Naturiol Cymru (Cyngor Cefn Gwlad Cymru yn flaenorol)</t>
  </si>
  <si>
    <t>cyfanswm receipts:</t>
  </si>
  <si>
    <t>NDC costs attributable to Carbon Reduction Commitment (CRC) transactions</t>
  </si>
  <si>
    <t>Costau heb eu dosbarthu yn ymwneud â thrafodiadau Ymrwymiad Lleihau Carbon</t>
  </si>
  <si>
    <t>cyfanswm in-year capital receipts - HRA (COR1-2, line 24, column 13)</t>
  </si>
  <si>
    <t>NDC costs attributable to council fund housing services</t>
  </si>
  <si>
    <t>Costau heb eu dosbarthuyn ymwneud â gwasanaethau tai cronfa'r cyngor</t>
  </si>
  <si>
    <t>cyfanswm in-year capital receipts non HRA (COR1-2, line 66 minus line 24, column 13)</t>
  </si>
  <si>
    <t>NDC costs attributable to courts' services</t>
  </si>
  <si>
    <t xml:space="preserve">Costau heb eu dosbarthu yn ymwneud â gwasanaethau llyosedd </t>
  </si>
  <si>
    <t>cyfanswm in-year capital receipts (lines 20 and 21)</t>
  </si>
  <si>
    <t>NDC costs attributable to cultural and related services</t>
  </si>
  <si>
    <t>Costau heb eu dosbarthu yn ymwneud â gwasanaethau diwylliannol a chysylltiedig</t>
  </si>
  <si>
    <t>Memorandum:</t>
  </si>
  <si>
    <t>NDC costs attributable to education services</t>
  </si>
  <si>
    <t xml:space="preserve">Costau heb eu dosbarthu yn ymwneud â gwasanaethau addysg </t>
  </si>
  <si>
    <t>Additional liabilities of Local Authority companies:</t>
  </si>
  <si>
    <t>NDC costs attributable to environmental services</t>
  </si>
  <si>
    <t xml:space="preserve">Costau heb eu dosbarthu yn ymwneud â gwasanaethau amgylcheddol </t>
  </si>
  <si>
    <t>Gross borrowing and other long-term liabilities as at start of year</t>
  </si>
  <si>
    <t>NDC costs attributable to highways, roads and transport services</t>
  </si>
  <si>
    <t xml:space="preserve">Costau heb eu dosbarthu yn ymwneud â gwasanaethau priffyrdd, ffyrdd a thrafnidiaeth </t>
  </si>
  <si>
    <t>Gross borrowing and other long-term liabilities as at end of year</t>
  </si>
  <si>
    <t>NDC costs attributable to personal social services</t>
  </si>
  <si>
    <t xml:space="preserve">Costau heb eu dosbarthu yn ymwneud â gwasanaethau cymdeithasol personol </t>
  </si>
  <si>
    <t>Gross HRA unsupported borrowing:</t>
  </si>
  <si>
    <t>NDC costs attributable to planning and development services</t>
  </si>
  <si>
    <t xml:space="preserve">Costau heb eu dosbarthu yn ymwneud â gwasanaethau datblygu </t>
  </si>
  <si>
    <t>At start of year</t>
  </si>
  <si>
    <t>Non-domestic rates collection</t>
  </si>
  <si>
    <t>Casglu ardrethi annomestig</t>
  </si>
  <si>
    <t>At end of year</t>
  </si>
  <si>
    <t>not used</t>
  </si>
  <si>
    <t>heb ei ddefnyddio</t>
  </si>
  <si>
    <t>The Authority’s figures for the LGBI for highways’ improvements</t>
  </si>
  <si>
    <t>NOTE: Only include components relating to Icelandic bank impairment on lines 140 to 142.</t>
  </si>
  <si>
    <t xml:space="preserve">SYLWCH: Defnyddiwch elfennau sy'n ymwneud ag amhariad banciau Gwlad yr Iâ ar linellau 140 i 142 yn unig, </t>
  </si>
  <si>
    <t>Amount included in line 31.1 above relating to the LGBI for highways’ improvements</t>
  </si>
  <si>
    <t>NOVUS</t>
  </si>
  <si>
    <t>Please use white cells for input only</t>
  </si>
  <si>
    <t>NOVUS grant</t>
  </si>
  <si>
    <t>Grant NOVUS</t>
  </si>
  <si>
    <t>Blue cells are calculated</t>
  </si>
  <si>
    <t>Number and extension:</t>
  </si>
  <si>
    <t>Rhif ac estyniad:</t>
  </si>
  <si>
    <t>Gold cells are not used</t>
  </si>
  <si>
    <t>Of which: transfers (#)</t>
  </si>
  <si>
    <t>Ac o hynny: trosglwyddiadau (#)</t>
  </si>
  <si>
    <t xml:space="preserve">Lines 32 and 19 should be equal.  Any difference is shown here:          </t>
  </si>
  <si>
    <t>One off equal pay costs  - falling on the schools budget</t>
  </si>
  <si>
    <t>Costau untro cyflog cyfartal - o gyllideb yr ysgolion</t>
  </si>
  <si>
    <t>On Balance Sheet PFI Financing</t>
  </si>
  <si>
    <t>One off equal pay costs - chargeable to any other revenue account</t>
  </si>
  <si>
    <t>Costau untro cyflog cyfartal - o unrhyw gyfrif refeniw arall</t>
  </si>
  <si>
    <t>Other (including emergency financial assistance) (specify in list below line 999)</t>
  </si>
  <si>
    <t>Arall (gan gynnwys cymorth ariannol brys) (rhowch fanylion yn y rhestr o dan llinell 999)</t>
  </si>
  <si>
    <t>VALIDATIONS</t>
  </si>
  <si>
    <t>Other (please specify)</t>
  </si>
  <si>
    <t>Arall (rhowch fanylion)</t>
  </si>
  <si>
    <t>OTHER COUNCIL FUND HOUSING SERVICES</t>
  </si>
  <si>
    <t>GWASANAETHAU ERAILL TAI CRONFA'R CYNGOR</t>
  </si>
  <si>
    <t>Validation checks</t>
  </si>
  <si>
    <t>Other courts services</t>
  </si>
  <si>
    <t>Arall - gwasanaethau llysoedd</t>
  </si>
  <si>
    <t>CAPITAL FINANCING</t>
  </si>
  <si>
    <t>Other education (including emergency financial assistance) (specify in list below line 999)</t>
  </si>
  <si>
    <t>Arall - addysg (gan gynnwys cymorth ariannol brys) (rhowch fanylion yn y rhestr o dan llinell 999)</t>
  </si>
  <si>
    <t>Line 30.1 and 30.2 greater than 0</t>
  </si>
  <si>
    <t>Other education (please specify)</t>
  </si>
  <si>
    <t>Arall - addysg (rhowch fanylion)</t>
  </si>
  <si>
    <t>Line 35 as a percentage of line 33</t>
  </si>
  <si>
    <t xml:space="preserve">Other employee costs (included in line 109, column 1.20) </t>
  </si>
  <si>
    <t>Arall - costau cyflogeion (wedi'i gynnwys yn llinell 109, colofn 1.20)</t>
  </si>
  <si>
    <t>Line 38 + line 39 greater than 0</t>
  </si>
  <si>
    <t>Other highways, roads and transport (please specify)</t>
  </si>
  <si>
    <t>Arall - priffyrdd, ffyrdd a thranfnidiaeth (rhowch fanylion)</t>
  </si>
  <si>
    <t>Line 38 + line 39 as a percentage of line 33</t>
  </si>
  <si>
    <t>Other home office and Lord Chancellor's Department (please specify)</t>
  </si>
  <si>
    <t>Arall - y Swyddfa Gartref ac Adran yr Arglwydd Ganghellor (rhowch fanylion)</t>
  </si>
  <si>
    <t>Line 40 or 43 greater than 1</t>
  </si>
  <si>
    <t>Other Home Office, Department for Constitutional Affairs and Unified Courts Administration (specify on last page)</t>
  </si>
  <si>
    <t>Arall - y Swyddfa Gartref, yr Adran Materion Cyfansoddiadol a Gweinyddiaeth y Llysoedd Unedig (rhowch fanylion ar y dudalen olaf)</t>
  </si>
  <si>
    <t>Line 41 + line 42 greater than 0</t>
  </si>
  <si>
    <t>Other housing (including Bellwin scheme grants covering housing expenditure) (please specify)</t>
  </si>
  <si>
    <t xml:space="preserve">Arall - tai (gan gynnwys grantiau Cynllun Bellwin ar gyfer gwariant tai) (rhowch fanylion) </t>
  </si>
  <si>
    <t>Line 44 greater than or equal to line 38 + line 39</t>
  </si>
  <si>
    <t>Other housing (including Emergency Financial Assistance) (specify in list below line 999)</t>
  </si>
  <si>
    <t>Arall - tai (gan gynnwys Cymorth Ariannol Brys) (rhowch fanylion yn y rhestr o dan llinell 999)</t>
  </si>
  <si>
    <t>Line 45 greater than or equal to line 44</t>
  </si>
  <si>
    <t>Other NDC costs</t>
  </si>
  <si>
    <t>Arall - Costau heb eu dosbarthu</t>
  </si>
  <si>
    <t>Line 47 greater than or equal to line 46</t>
  </si>
  <si>
    <t>Other road and transport (specify on last page)</t>
  </si>
  <si>
    <t>Arall - ffyrdd a thrafnidiaeth (rhowch fanylion ar y dudalen olaf)</t>
  </si>
  <si>
    <t>Line 46 greater than or equal to line 41 + line 42</t>
  </si>
  <si>
    <t>Other Services</t>
  </si>
  <si>
    <t>Gwasanaethau Eraill</t>
  </si>
  <si>
    <t>Line 45 greater than or equal to line 37</t>
  </si>
  <si>
    <t>Other social service (including Bellwin scheme covering social service expenditure) (please specify)</t>
  </si>
  <si>
    <t>Arall - gwasanaethau cymdeithasol (gan gynnwys Cynllun Bellwin ar gyfer gwariant gwasanaethau cymdeithasol) (rhowch fanylion)</t>
  </si>
  <si>
    <t>Line 47 greater than or equal to line 37</t>
  </si>
  <si>
    <t>Other social services (including emergency financial assistance) (specify in list below line 999)</t>
  </si>
  <si>
    <t>Arall - gwasanaethau cymdeithasol (gan gynnwys cymorth ariannol brys) (rhowch fanylion yn y rhestr o dan llinell 999)</t>
  </si>
  <si>
    <t>Line 48 less than half of line 38 + line 39</t>
  </si>
  <si>
    <t>Other welfare services</t>
  </si>
  <si>
    <t>Arall - gwasanaethau lles</t>
  </si>
  <si>
    <t>Line 49 + less than half of line 41 + line 42</t>
  </si>
  <si>
    <t>Out of school child care</t>
  </si>
  <si>
    <t xml:space="preserve">Gofal plant y tu allan i oriau ysgol </t>
  </si>
  <si>
    <t>Line 43 greater than 0</t>
  </si>
  <si>
    <t>Out of School Childcare</t>
  </si>
  <si>
    <t xml:space="preserve">Gofal Plant y Tu Allan i Oriau Ysgol </t>
  </si>
  <si>
    <t>Line 44 greater than 0</t>
  </si>
  <si>
    <t>Outcome agreement grant (formally IAG)</t>
  </si>
  <si>
    <t>Grant cytundeb canlyniadau (Grant Cytundeb Gwella yn flaenorol)</t>
  </si>
  <si>
    <t>Line 45 greater than 0</t>
  </si>
  <si>
    <t>PE &amp; school sports (PESS)</t>
  </si>
  <si>
    <t>Addysg gorfforol a chwaraeon mewn ysgolion</t>
  </si>
  <si>
    <t>Line 46 greater than 0</t>
  </si>
  <si>
    <t>Planning improvement fund for local planning authorities</t>
  </si>
  <si>
    <t>Y gronfa gwella cynllunio ar gyfer awdurdodau cynllunio lleol</t>
  </si>
  <si>
    <t>Line 47 greater than 0</t>
  </si>
  <si>
    <t>Please ensure that all blank cells are populated with zeros.  It is a Welsh Government audit requirement that all cells are completed.</t>
  </si>
  <si>
    <t xml:space="preserve">Gwnewch yn siŵr fod sero ym mhob cell wag. Mae'n un o ofynion archwiliadau Llywodraeth Cymru fod pob cell yn cael ei llenwi. </t>
  </si>
  <si>
    <t>Difference</t>
  </si>
  <si>
    <t>Please give the name and telephone number of the person who we may contact in case of queries:-</t>
  </si>
  <si>
    <t>Rhowch enw a rhif ffôn y person y gallwn gysylltu â hwy ar gyfer ymholiadau:-</t>
  </si>
  <si>
    <t>cyfanswm</t>
  </si>
  <si>
    <t>Please select your authority from the dropdown box on the FrontPage</t>
  </si>
  <si>
    <t>Dewiswch eich awdurdod o'r gwymplen ar y dudalen flaen</t>
  </si>
  <si>
    <t>comment</t>
  </si>
  <si>
    <t>Police and Home Office</t>
  </si>
  <si>
    <t>Yr Heddlu a'r Swyddfa Gartref</t>
  </si>
  <si>
    <t>Please comment below if necessary</t>
  </si>
  <si>
    <t>Police community support officers grant from the Welsh Government (police only)</t>
  </si>
  <si>
    <t>Grant swyddogion cymorth cymunedol yr heddlu gan Lywodraeth Cymru (yr heddlu yn unig)</t>
  </si>
  <si>
    <t>Please comment</t>
  </si>
  <si>
    <t>Police innovation fund (police only)</t>
  </si>
  <si>
    <t>Cronfa arloesi yr heddlu (yr heddlu yn unig)</t>
  </si>
  <si>
    <t>Clear</t>
  </si>
  <si>
    <t>Post-16 provision in schools</t>
  </si>
  <si>
    <t>Darpariaeth ôl-16 mewn ysgolion</t>
  </si>
  <si>
    <t>NARRATIVE</t>
  </si>
  <si>
    <t>Public transport</t>
  </si>
  <si>
    <t>Trafnidiaeth gyhoeddus</t>
  </si>
  <si>
    <t>Please use the box below to give a brief supporting narrative of any major change in circumstances that might have an influence on</t>
  </si>
  <si>
    <t>Pupil deprivation grant</t>
  </si>
  <si>
    <t>Grant amddifadedd disgyblion</t>
  </si>
  <si>
    <t>forecast figures around this time.</t>
  </si>
  <si>
    <t>Recreation and sport (including sports council)</t>
  </si>
  <si>
    <t>Hamdden a chwaraeon (gan gynnwys cyngor chwaraeon)</t>
  </si>
  <si>
    <t>For example, significant changes or shifts in forecasts could be caused by: delays to projects, changing priorities for capital investment</t>
  </si>
  <si>
    <t>Regional collaboration grant</t>
  </si>
  <si>
    <t xml:space="preserve">Grant cydweithredu rhanbarthol </t>
  </si>
  <si>
    <t>or to tentatively identify any capital expenditure which may need to be covered by a capitalisation direction.</t>
  </si>
  <si>
    <t>Regional Transport Services Grant</t>
  </si>
  <si>
    <t>Grant Gwasanaethau Trafnidiaeth Rhanbarthol</t>
  </si>
  <si>
    <t>Registration of births, marriages and deaths</t>
  </si>
  <si>
    <t>Cofrestru genedigaethau, priodasau a marwolaethau</t>
  </si>
  <si>
    <t>Rent rebates granted to HRA tenants</t>
  </si>
  <si>
    <t>Ad-daliadau rhent a ganiatawyd i denantiaid HRA</t>
  </si>
  <si>
    <t>Revenue Outturn</t>
  </si>
  <si>
    <t>Alldro Refeniw</t>
  </si>
  <si>
    <t>Revised general central support (after council tax was set)</t>
  </si>
  <si>
    <t>Cymorth canolog cyffredinol diwygiedig (ar ôl pennu'r dreth gyngor)</t>
  </si>
  <si>
    <t>Revised police grant allocation under principal formula (after council tax was set)</t>
  </si>
  <si>
    <t>Dyraniad diwygiedig grant yr heddlu o dan y prif fformiwla (ar ôl pennu'r dreth gyngor)</t>
  </si>
  <si>
    <t>collection, analysis and aggregation of records and data required;</t>
  </si>
  <si>
    <t>Revised redistributed non-domestic rates income (after council tax was set)</t>
  </si>
  <si>
    <t>incwm diwygiedig ardrethi annomestig a ailddoabrthwyd (ar ôl pennu'r dreth gyngor)</t>
  </si>
  <si>
    <t>completing, checking, amending and approving the form.</t>
  </si>
  <si>
    <t>Revised revenue support grant (after council tax was set)</t>
  </si>
  <si>
    <t>Grant cynnal refeniw diwygiedig (ar ôl pennu'r dreth gyngor)</t>
  </si>
  <si>
    <t>Road Safety Grant</t>
  </si>
  <si>
    <t>Grant Diogelwch ar y Ffyrdd</t>
  </si>
  <si>
    <t>Running expenses</t>
  </si>
  <si>
    <t>Treuliau rhedeg</t>
  </si>
  <si>
    <t>Comments</t>
  </si>
  <si>
    <t>Safer communities fund</t>
  </si>
  <si>
    <t>Cronfa cymunedau mwy diogel</t>
  </si>
  <si>
    <t>School effectiveness grant</t>
  </si>
  <si>
    <t>Grant effeithiolrwydd ysgolion</t>
  </si>
  <si>
    <t>School uniform grant</t>
  </si>
  <si>
    <t>Grant gwisg ysgol</t>
  </si>
  <si>
    <t>We are continually striving to improve the form to make it easier to complete, whilst still ensuring data integrity and consistency across all authorities. If you have any comments or suggestions that may be useful,  please note them below:</t>
  </si>
  <si>
    <t>Service</t>
  </si>
  <si>
    <t>Gwasanaeth</t>
  </si>
  <si>
    <t>Service strategy adult services</t>
  </si>
  <si>
    <t>Strategaeth gwasanaethau oedolion</t>
  </si>
  <si>
    <t>Social care workforce development programme</t>
  </si>
  <si>
    <t>Rhaglen datblygu'r gweithlu gofal cymdeithasol</t>
  </si>
  <si>
    <t xml:space="preserve">Social services - adults aged under 65 </t>
  </si>
  <si>
    <t>Gwasanaethau cymdeithasol - oedolion o dan 65 oed</t>
  </si>
  <si>
    <t>General comments</t>
  </si>
  <si>
    <t>Social services - children and families services</t>
  </si>
  <si>
    <t>Gwasanaethau cymdeithasol - gwasanaethau plant a theuluoedd</t>
  </si>
  <si>
    <t>Specialist ring fenced accounts</t>
  </si>
  <si>
    <t>Cyfrifon arbenigol wedi'u clustnodi</t>
  </si>
  <si>
    <t>Subjective breakdown of gross expenditure on central services, precepts and levies</t>
  </si>
  <si>
    <t>Dadansoddiad yn ôl pwnc o'r  gwariant gros ar wasanaethau canolog, praeseptau ac ardollau</t>
  </si>
  <si>
    <t>Subjective breakdown of gross expenditure on council fund housing services</t>
  </si>
  <si>
    <t>Dadansoddiad yn ôl pwnc o'r gwariant gros ar wasanaethau tai cronfa'r cyngor</t>
  </si>
  <si>
    <t>Subjective breakdown of gross expenditure on environmental services</t>
  </si>
  <si>
    <t>Dadansoddiad yn ôl pwnc o'r gwariant gros ar wasanaethau amgylcheddol</t>
  </si>
  <si>
    <t>Subjective breakdown of gross expenditure on fire services</t>
  </si>
  <si>
    <t>Dadansoddiad yn ôl pwnc o'r gwariant gros ar wasanaethau tân</t>
  </si>
  <si>
    <t>Subjective breakdown of gross expenditure on national parks' services</t>
  </si>
  <si>
    <t>Dadansoddiad yn ôl pwnc o'r gwariant gros ar wasanaethau parciau cenedlaethol</t>
  </si>
  <si>
    <t>Subjective breakdown of gross expenditure on planning and development and court services</t>
  </si>
  <si>
    <t>Dadansoddiad yn ôl pwnc o'r gwariant gros ar gynllunio a datblygu, a gwasanaethau llyosedd</t>
  </si>
  <si>
    <t>Subjective breakdown of gross expenditure on police services</t>
  </si>
  <si>
    <t>Dadansoddiad yn ôl pwnc o'r gwariant gros ar wasanaethau'r heddlu</t>
  </si>
  <si>
    <t>Substance Mis-use Action Fund</t>
  </si>
  <si>
    <t>Cronfa Weithredu ar Gamddefnyddio Sylweddau</t>
  </si>
  <si>
    <t>Substance misuse action fund (SMAF)</t>
  </si>
  <si>
    <t xml:space="preserve">Cronfa weithredu ar gamddefnyddio sylweddau </t>
  </si>
  <si>
    <t>Substance misuse action fund (SMAF) (other)</t>
  </si>
  <si>
    <t>Cronfa weithredu ar gamddefnyddio sylweddau (arall)</t>
  </si>
  <si>
    <t>Supporting people (housing)</t>
  </si>
  <si>
    <t>Cefnogi pobl (tai)</t>
  </si>
  <si>
    <t>Supporting people (social services)</t>
  </si>
  <si>
    <t>Cefnogi pobl (gwasanaethau cymdeithasol)</t>
  </si>
  <si>
    <t>Teacher costs (line 109, column 1.10)</t>
  </si>
  <si>
    <t>Costau athrawon (llinell 109, colofn 1.10)</t>
  </si>
  <si>
    <t>Telephone: 029 2082 - (5673 or 3963)</t>
  </si>
  <si>
    <t>Ffôn: 029 2082 - (5673 neu 3963)</t>
  </si>
  <si>
    <t>Telephone: STD code:</t>
  </si>
  <si>
    <t>Ffôn: Cod STD:</t>
  </si>
  <si>
    <t>This form should be completed on a non-FRS17 and PFI "Off Balance Sheet" basis.</t>
  </si>
  <si>
    <t>Dylid llenwi'r ffurflen hon heb fod ar sail FRS17 ac ar sail Menter Cyllid Preifat (PFI) "oddi ar y fantolen"</t>
  </si>
  <si>
    <t>Tidy towns grant</t>
  </si>
  <si>
    <t>Grant trefi taclus</t>
  </si>
  <si>
    <t>Total adults aged under 65 with learning disabilities</t>
  </si>
  <si>
    <t xml:space="preserve">Cyfanswm yr oedolion o dan 65 oed sydd ag anableddau dysgu </t>
  </si>
  <si>
    <t>Total adults aged under 65 with mental health needs</t>
  </si>
  <si>
    <t>Cyfanswm yr oedolion o dan 65 oed sydd ag anghenion iechyd meddwl</t>
  </si>
  <si>
    <t>Total central services</t>
  </si>
  <si>
    <t>Cyfanswm gwasanaethau canolog</t>
  </si>
  <si>
    <t>Total central services to the public</t>
  </si>
  <si>
    <t>Cyfanswm gwasanaethau canolog i'r cyhoedd</t>
  </si>
  <si>
    <t>Total community safety</t>
  </si>
  <si>
    <t>Cyfanswm diogelwch cymunedol</t>
  </si>
  <si>
    <t>Total conservation</t>
  </si>
  <si>
    <t>Cyfanswm cadwraeth</t>
  </si>
  <si>
    <t>Total contributing councils</t>
  </si>
  <si>
    <t>Cyfanswm cynghorau sy'n cyfrannu</t>
  </si>
  <si>
    <t>Total coroners' and other courts services</t>
  </si>
  <si>
    <t>Cyfanswm llysoedd y crwneriaid a llysoedd eraill</t>
  </si>
  <si>
    <t>Total corporate and democratic core</t>
  </si>
  <si>
    <t>Cyfanswm y craidd corfforaethol a democrataidd</t>
  </si>
  <si>
    <t>Total corporate and democratic core costs</t>
  </si>
  <si>
    <t>Cyfanswm costau'r craidd corfforaethol a democrataidd</t>
  </si>
  <si>
    <t>Total Education</t>
  </si>
  <si>
    <t>Cyfanswm Addysg</t>
  </si>
  <si>
    <t>Total environmental and regulatory services</t>
  </si>
  <si>
    <t>Cyfanswm gwasanaethau amgylcheddol a rheoleiddiol</t>
  </si>
  <si>
    <t>Total environmental health</t>
  </si>
  <si>
    <t>Cyfanswm iechyd yr amgylchedd</t>
  </si>
  <si>
    <t>Total fire services</t>
  </si>
  <si>
    <t>Cyfanswm gwasanaethau tân</t>
  </si>
  <si>
    <t>Total fire services including central costs</t>
  </si>
  <si>
    <t>Cyfanswm gwasanaethau tân, gan gynnwys costau canolog</t>
  </si>
  <si>
    <t>Total grants</t>
  </si>
  <si>
    <t>Cyfanswm grantiau</t>
  </si>
  <si>
    <t>Total Highways, Roads and Transport</t>
  </si>
  <si>
    <t>Cyfanswm Priffyrdd, Ffyrdd a Thrafnidiaeth</t>
  </si>
  <si>
    <t>Total Home Office, Department for Constitutional Affairs and Unified Courts Administration</t>
  </si>
  <si>
    <t>Cyfanswm y Swyddfa Gartref, yr Adran Materion Cyfansoddiadol a Gweinyddiaeth y Llysoedd Unedig</t>
  </si>
  <si>
    <t>Total Housing</t>
  </si>
  <si>
    <t>Cyfanswm Tai</t>
  </si>
  <si>
    <t>Total local tax collection</t>
  </si>
  <si>
    <t>Cyfanswm casglu trethi lleol</t>
  </si>
  <si>
    <t>Total national park services</t>
  </si>
  <si>
    <t>Cyfanswm gwasanaethau parciau cenedlaethol</t>
  </si>
  <si>
    <t>Total national park services including central costs</t>
  </si>
  <si>
    <t>Cyfanswm gwasanaethau parciau cenedlaethol gan gynnwys costau canolog</t>
  </si>
  <si>
    <t>Total non distributed costs</t>
  </si>
  <si>
    <t>Cyfanswm costau heb eu dosbarthu</t>
  </si>
  <si>
    <t>Total of all grants</t>
  </si>
  <si>
    <t>Cyfanswm yr holl grantiau</t>
  </si>
  <si>
    <t>Total other central costs</t>
  </si>
  <si>
    <t>Cyfanswm costau canolog eraill</t>
  </si>
  <si>
    <t>Total other council fund housing services</t>
  </si>
  <si>
    <t>Cyfanswm gwasanaethau eraill tai cronfa'r cyngor</t>
  </si>
  <si>
    <t>Total Other Local Services</t>
  </si>
  <si>
    <t>Cyfanswm Gwasanaethau Lleol Eraill</t>
  </si>
  <si>
    <t>Total Other Services</t>
  </si>
  <si>
    <t>Cyfanswm Gwasanaethau Eraill</t>
  </si>
  <si>
    <t>Total planning and development services</t>
  </si>
  <si>
    <t>Cyfanswm gwasanaethau cynllunio a datblygu</t>
  </si>
  <si>
    <t>Total police and Home Office</t>
  </si>
  <si>
    <t>Cyfanswm yr heddlu a'r Swyddfa Gartref</t>
  </si>
  <si>
    <t>Total police services</t>
  </si>
  <si>
    <t>Cyfanswm gwasanaethau'r heddlu</t>
  </si>
  <si>
    <t>Total Roads and Transport</t>
  </si>
  <si>
    <t>Cyfanswm Ffyrdd a Thrafnidiaeth</t>
  </si>
  <si>
    <t>Total waste</t>
  </si>
  <si>
    <t>Cyfanswm gwastraff</t>
  </si>
  <si>
    <t>Town Centre Partnerships (now includes tidy towns grant)</t>
  </si>
  <si>
    <t>Partneriaethau Canol Tref (nawr yn cynnwys grant trefi taclus)</t>
  </si>
  <si>
    <t>Tranquil greener, cleaner places</t>
  </si>
  <si>
    <t>Lleoedd tawelach, gwyrddach a glanach</t>
  </si>
  <si>
    <t>Transfer to HRA balance (column 1) or from (column 6b) HRA balance</t>
  </si>
  <si>
    <t>Trosglwyddo i falans HRA (colofn 1) neu o (colofn 6b) falans HRA</t>
  </si>
  <si>
    <t>Welsh in education (WEG) grant</t>
  </si>
  <si>
    <t>Grant y Gymraeg mewn Addysg</t>
  </si>
  <si>
    <t xml:space="preserve">Youth Concessionary Fares Scheme </t>
  </si>
  <si>
    <t>Cynllun Tocynnau Teithio Rhatach i Bobl Ifanc</t>
  </si>
  <si>
    <t>Youth Crime Prevention Fund</t>
  </si>
  <si>
    <t>Cronfa Atal Troseddau Ieuenctid</t>
  </si>
  <si>
    <t>Youth justice board</t>
  </si>
  <si>
    <t>Bwrdd cyfiawnder ieuenctid</t>
  </si>
  <si>
    <t>Youth justices board</t>
  </si>
  <si>
    <t>Youth Work Strategy Support Grant</t>
  </si>
  <si>
    <t>Grant Cymorth Strategaeth Gwaith Ieuenctid</t>
  </si>
  <si>
    <t>Validations</t>
  </si>
  <si>
    <t>Dilysu</t>
  </si>
  <si>
    <t>Sylwadau</t>
  </si>
  <si>
    <t>Asylum seekers children's services</t>
  </si>
  <si>
    <t>Gwasanaethau plant i geiswyr lloches</t>
  </si>
  <si>
    <t>Children looked after</t>
  </si>
  <si>
    <t>Plant sy'n derbyn gofal</t>
  </si>
  <si>
    <t>Family support services</t>
  </si>
  <si>
    <t>Gwasanaethau cymorth i deuluoedd</t>
  </si>
  <si>
    <t>Safeguarding children and young people's services</t>
  </si>
  <si>
    <t>Gwasanaethau diogelu plant a phobl ifanc</t>
  </si>
  <si>
    <t>Services for young people</t>
  </si>
  <si>
    <t>Gwasanaethau i bobl ifanc</t>
  </si>
  <si>
    <t>Additional learning needs within LA budget</t>
  </si>
  <si>
    <t xml:space="preserve">Anghenion dysgu ychwanegol o fewn cyllideb yr ALl </t>
  </si>
  <si>
    <t>Additional learning needs within school budget</t>
  </si>
  <si>
    <t>Anghenion dysgu ychwanegol o fewn cyllideb yr ysgol</t>
  </si>
  <si>
    <t>Adult social care</t>
  </si>
  <si>
    <t>Gofal cymdeithasol i Oedolion</t>
  </si>
  <si>
    <t>Adults aged under 65 with a physical disability or sensory impairment</t>
  </si>
  <si>
    <t>Oedolion o dan 65 oed sydd ag anabledd corfforol neu nam ar y synhwyrau</t>
  </si>
  <si>
    <t>Adults aged under 65 with learning disabilities</t>
  </si>
  <si>
    <t>Oedolion o dan 65 oed sydd ag anableddau dysgu</t>
  </si>
  <si>
    <t>Adults aged under 65 with mental health needs</t>
  </si>
  <si>
    <t>Oedolion o dan 65 oed sydd ag anghenion iechyd meddwl</t>
  </si>
  <si>
    <t>Aggregates of schools' financial reserves</t>
  </si>
  <si>
    <t>Symiau cyfunol cronfeydd ariannol wrth gefn ysgolion</t>
  </si>
  <si>
    <t>Amounts transferred to the capital account in respect of education</t>
  </si>
  <si>
    <t>Symiau a dosglwyddwyd i'r cyfrif cyfalaf ar gyfer addysg</t>
  </si>
  <si>
    <t>Children's social care</t>
  </si>
  <si>
    <t>Gofal cymdeithasol i blant</t>
  </si>
  <si>
    <t>Cultural and related services</t>
  </si>
  <si>
    <t>Gwasanaethau diwylliannol a chysylltiedig</t>
  </si>
  <si>
    <t xml:space="preserve">Employee costs </t>
  </si>
  <si>
    <t>Highways and transport services</t>
  </si>
  <si>
    <t>Gwasanaethau priffyrdd a thrafnidiaeth</t>
  </si>
  <si>
    <t>MEMORANDUM ITEMS</t>
  </si>
  <si>
    <t>EITEMAU MEMORANDWM</t>
  </si>
  <si>
    <t>Non-delegated schools expenditure</t>
  </si>
  <si>
    <t>Gwariant ysgolion heb ei ddirprwyo</t>
  </si>
  <si>
    <t>Of which payments to the voluntary sector</t>
  </si>
  <si>
    <t>Ac o hynny, taliadau i'r sector gwirfoddol</t>
  </si>
  <si>
    <t>Older people (aged 65 or over) including older mentally ill</t>
  </si>
  <si>
    <t>Pobl hyn (65 oed a throsodd) gan gynnwys pobl hyn sydd a salwtch meddwl</t>
  </si>
  <si>
    <t>Other adult services (aged under 65)</t>
  </si>
  <si>
    <t>Gwasanaethau eraill i oedolion (sydd o dan 65 oed)</t>
  </si>
  <si>
    <t xml:space="preserve">Other employee costs </t>
  </si>
  <si>
    <t>Costau eraill cyflogeion</t>
  </si>
  <si>
    <t>pay account</t>
  </si>
  <si>
    <t>cyfrif tâl</t>
  </si>
  <si>
    <t>Revenue amounts transferred to the capital account</t>
  </si>
  <si>
    <t>Symiau refeniw wedi'u trosglwyddo i'r cyfrif cyfalaf</t>
  </si>
  <si>
    <t xml:space="preserve">Running expenses </t>
  </si>
  <si>
    <t>SEN expenditure outside of special schools</t>
  </si>
  <si>
    <t>Gwariant AAA y tu allan i ysgolion arbennig</t>
  </si>
  <si>
    <t>services</t>
  </si>
  <si>
    <t>gwasanaethau</t>
  </si>
  <si>
    <t>Social services expenditure</t>
  </si>
  <si>
    <t>Gwariant gwasanaethau cymdeithasol</t>
  </si>
  <si>
    <t>Subjective breakdown of gross expenditure on cultural and related services</t>
  </si>
  <si>
    <t>Dadansoddiad yn ôl pwnc o'r gwariant gros ar wasanaethau diwylliannol a chysylltiedig</t>
  </si>
  <si>
    <t>Subjective breakdown of gross expenditure on education services</t>
  </si>
  <si>
    <t>Dadansoddiad yn ôl pwnc o'r gwariant gros ar wasanaethau addysg</t>
  </si>
  <si>
    <t>Subjective breakdown of gross expenditure on highways, roads and transport services</t>
  </si>
  <si>
    <t>Dadansoddiad yn ôl pwnc o'r gwariant gros ar wasanaethau priffyrdd, ffyrdd a thrafnidiaeth</t>
  </si>
  <si>
    <t>Subjective breakdown of gross expenditure on social services</t>
  </si>
  <si>
    <t>Dadansoddiad yn ôl pwnc o'r gwariant gros ar wasanaethau cymdeithasol</t>
  </si>
  <si>
    <t>Teacher costs</t>
  </si>
  <si>
    <t>Costau athrawon</t>
  </si>
  <si>
    <t>To be transferred to revenue summary form</t>
  </si>
  <si>
    <t>I'w drosglwyddo i'r ffurflen crynodeb o refeniw</t>
  </si>
  <si>
    <t>Total cultural and related services</t>
  </si>
  <si>
    <t>Cyfanswm gwasanaethau diwylliannol a chysylltiedig</t>
  </si>
  <si>
    <t>Total culture and heritage</t>
  </si>
  <si>
    <t>Cyfanswm diwylliant a threftadaeth</t>
  </si>
  <si>
    <t>Total net expenditure on SEN provision: middle schools (statemented and non-statemented pupils)</t>
  </si>
  <si>
    <t>Cyfanswm gwariant net ar ddarpariaeth AAA: ysgolion canol (disgyblion â datganiad a disgyblion heb ddatganiad)</t>
  </si>
  <si>
    <t>Total net expenditure on SEN provision: nursery schools (statemented and non-statemented pupils)</t>
  </si>
  <si>
    <t>Cyfanswm gwariant net ar ddarpariaeth AAA: ysgolion meithrin (disgyblion â datganiad a disgyblion heb ddatganiad)</t>
  </si>
  <si>
    <t>Total net expenditure on SEN provision: primary schools (statemented and non-statemented pupils)</t>
  </si>
  <si>
    <t>Cyfanswm gwariant net ar ddarpariaeth AAA: ysgolion cynradd (disgyblion â datganiad a disgyblion heb ddatganiad)</t>
  </si>
  <si>
    <t>Total net expenditure on SEN provision: secondary schools (statemented and non-statemented pupils)</t>
  </si>
  <si>
    <t>Cyfanswm gwariant net ar ddarpariaeth AAA: ysgolion uwchradd (disgyblion â datganiad a disgyblion heb ddatganiad)</t>
  </si>
  <si>
    <t>Total structural maintenance, highways and roads</t>
  </si>
  <si>
    <t>Cyfanswm cynnal a chadw strwythurol, priffyrdd a ffyrdd</t>
  </si>
  <si>
    <t>Transfers from (-) / to (+) schools' financial reserves of another LA</t>
  </si>
  <si>
    <t>Trosglwyddiadau o (-) / i (+) gronfeydd ariannol wrth gefn ysgolion mewn ALl arall</t>
  </si>
  <si>
    <t>Validations - please ensure these have been cleared before issuing your returns.</t>
  </si>
  <si>
    <t>Dilysu - gwnewch yn siŵr fod y rhain wedi cael eu cymeradwyo cyn cyflwyno eich ffurflenni</t>
  </si>
  <si>
    <t>If you have a variance, please record the reasons for these under the notes section.</t>
  </si>
  <si>
    <t>Os oes gennych amrywiant, cofnodwch y rhesymau dros hyn yn yr adran nodiadau.</t>
  </si>
  <si>
    <t>RG Total Education = RS Lines 1 + 2</t>
  </si>
  <si>
    <t>Cyfanswm RG Addysg = Llinellau RS 1 + 2</t>
  </si>
  <si>
    <t>RG Total Social Services = RS Lines 6 to 8</t>
  </si>
  <si>
    <t>Cyfanswm RG Gwasanaethau Cymdeithasol = Llinellau RS 6 i 8</t>
  </si>
  <si>
    <t>RG Total Highways = RS Lines 3 to 5</t>
  </si>
  <si>
    <t>Cyfanswm RG Priffyrdd = Llinellau RS 3 i 5</t>
  </si>
  <si>
    <t>RG Total Housing (less CTRS Admin) = RO8 line 26</t>
  </si>
  <si>
    <t>Cyfanswm RG Tai (wedi tynnu CTRS Gweinyddol) = RO8 llinell 26</t>
  </si>
  <si>
    <t>Employee Cost &lt;&gt;0</t>
  </si>
  <si>
    <t>Cost cyflogeion &lt;&gt;0</t>
  </si>
  <si>
    <t>RS Line 70 Column 4 - Should be less than £500k</t>
  </si>
  <si>
    <t>RS Llinell 70 Colofn 4 - Dylai fod yn llai na £500k</t>
  </si>
  <si>
    <t>(Non-significant) surpluses/deficits on internal trading accounts not disaggregated to services</t>
  </si>
  <si>
    <t>Gwargedau/Diffygion (ansylweddol) ar gyfrifon masnachu mewnol heb eu dadgyfuno yn ôl gwasanaeth</t>
  </si>
  <si>
    <t>RG Total Police = ROP Lines 6 and 11</t>
  </si>
  <si>
    <t>Cyfanswm RG Heddlu = ROP Llinellau 6 ac 11</t>
  </si>
  <si>
    <t>RG Line 201 = RO2 Line 26</t>
  </si>
  <si>
    <t xml:space="preserve">RG Llinell 201  = RO2 Llinell 26 </t>
  </si>
  <si>
    <t>Concessionary fares re-imbursement grant</t>
  </si>
  <si>
    <t>Grant ad-dalu tocynnau teithio rhatach</t>
  </si>
  <si>
    <t>RO5 25.6 Column 11 = RG 624 Column 1</t>
  </si>
  <si>
    <t>RO5 25.6 Colofn 11 = RG 624 Colofn 1</t>
  </si>
  <si>
    <t>Waste Grant</t>
  </si>
  <si>
    <t>Grant Gwastraff</t>
  </si>
  <si>
    <t>Tolerance +/- 1K</t>
  </si>
  <si>
    <t>Goddefiant +/- 1K</t>
  </si>
  <si>
    <t>RO4 Line 6 Column 11 = RG 603 Column 1</t>
  </si>
  <si>
    <t>RO4 Llinell 6 Colofn 11 = RG 603 Colofn 1</t>
  </si>
  <si>
    <t>Cultural &amp; heritage</t>
  </si>
  <si>
    <t>Diwylliannol a threftadaeth</t>
  </si>
  <si>
    <t>Less than</t>
  </si>
  <si>
    <t>Yn llai na</t>
  </si>
  <si>
    <t>Should</t>
  </si>
  <si>
    <t>Dylai fod</t>
  </si>
  <si>
    <t>RS Line 58 (col 4) / 
RS Line 60 (col 4)</t>
  </si>
  <si>
    <t>RS Llinell 58 (col 4) / 
RS Llinell 60 (col 4)</t>
  </si>
  <si>
    <t>RS Line 59 (col 4) / 
RS Line 60 (col 4)</t>
  </si>
  <si>
    <t>RS Llinell 59 (col 4) / 
RS Llinell 60 (col 4)</t>
  </si>
  <si>
    <t>RS Line 90
(col 5)</t>
  </si>
  <si>
    <t>RS Llinell 90
(col 5)</t>
  </si>
  <si>
    <t>RO8 Line 32 column 10</t>
  </si>
  <si>
    <t>RO8 Llinell 32 colofn 10</t>
  </si>
  <si>
    <t>Notes</t>
  </si>
  <si>
    <t>Nodiadau</t>
  </si>
  <si>
    <t>Cliciwch ar y ddolen isod i gael canllawiau ar gyfer y ffurflenni unigol (mae angen mynediad at y we)</t>
  </si>
  <si>
    <t>Hyperddolen canllawiau</t>
  </si>
  <si>
    <t>Alldro cyfalaf</t>
  </si>
  <si>
    <t>Dewiswch eich awdurdod</t>
  </si>
  <si>
    <t xml:space="preserve">Os oes angen, newidiwch enw a rhif ffôn y person y gallwn gysylltu â hwy ar gyfer ymholiadau:- </t>
  </si>
  <si>
    <t>Enw'r person cyswllt:</t>
  </si>
  <si>
    <t>E-bost</t>
  </si>
  <si>
    <t>Ffôn:</t>
  </si>
  <si>
    <t>Rhaid cyflwyno'r wybodaeth ar y ffurflen hon i Lywodraeth Cymru yn unol ag adran 14 o Ddeddf Llywodraeth Leol 2003.</t>
  </si>
  <si>
    <t>This form must be returned by 31 July</t>
  </si>
  <si>
    <t>Rhaid dychwelyd y ffurflen hon erbyn 31 Gorffennaf</t>
  </si>
  <si>
    <t>Anfonwch y daenlen drwy e-bost i'r cyfeiriad isod. Sylwch nad oes rhaid inni gael copi caled wedi'i lofnodi o'r ffurflen hon bellach.</t>
  </si>
  <si>
    <t>Dylid cyfeirio pob ymholiad ynghylch llenwi'r ffurflen neu'r daenlen at Frank Kelly neu Anthony Newby, dros y ffôn neu drwy e-bost, yn unol â'r cyfarwyddiadau isod.</t>
  </si>
  <si>
    <t>Mae'n un o ofynion archwiliadau Llywodraeth Cymru fod pob cell yn cael ei llenwi. Gwnewch yn siŵr fod sero ym mhob cell wag. Cymerir yn ganiataol mai sero yw gwerth pob cell sydd heb ei llenwi.</t>
  </si>
  <si>
    <t>Ystadegau Ariannol Llywodraeth Leol,</t>
  </si>
  <si>
    <t>Gwasanaethau Gwybodaeth a Dadansoddi,</t>
  </si>
  <si>
    <t>Llywodraeth Cymru,</t>
  </si>
  <si>
    <t>Parc Cathays,</t>
  </si>
  <si>
    <t>CAERDYDD</t>
  </si>
  <si>
    <t>Ffôn: 029 2082 5673</t>
  </si>
  <si>
    <t>E-bost: lgfs.transfer@wales.gsi.gov.uk</t>
  </si>
  <si>
    <t>Dewiswch eich awdurdod ar y dudalen flaen</t>
  </si>
  <si>
    <t>COR1-2:       Alldro cyfalaf 1 a 2</t>
  </si>
  <si>
    <t>Adeiladu ffyrdd newydd / Gwella ffyrdd</t>
  </si>
  <si>
    <t>Cynnal a chadw adeileddol - prif ffyrdd</t>
  </si>
  <si>
    <t>Cynnal a chadw adeileddol - ffyrdd mewn ALlau eraill</t>
  </si>
  <si>
    <t>Gwariant ar bontydd</t>
  </si>
  <si>
    <t>Diogelwch ar y ffyrdd</t>
  </si>
  <si>
    <t>Parcio cerbydau (gan gynnwys meysydd parcio)</t>
  </si>
  <si>
    <t>Trafnidiaeth gyhoeddus i deithwyr - bws</t>
  </si>
  <si>
    <t>Trafnidiaeth gyhoeddus i deithwyr - rheilffyrdd, rheilffyrdd tanddaearol ac arall</t>
  </si>
  <si>
    <t>Pontydd ffyrdd â tholl, twnelau a fferïau a chwmnïau trafnidiaeth gyhoeddus</t>
  </si>
  <si>
    <t>Caffael/Gwerthu tir ar gyfer y Cyfrif Refeniw Tai (HRA)</t>
  </si>
  <si>
    <t>Adeiladu anheddau HRA newydd</t>
  </si>
  <si>
    <t>Prynu/Gwerthu anheddau HRA</t>
  </si>
  <si>
    <t>Prifsymiau ar forgeisi / benthyciadau a ddarparwyd i brynu tai cyngor wedi eu had-dalu'n llawn yn gynnar</t>
  </si>
  <si>
    <t>Morgeisi/Benthyciadau a ddarparwyd ar gyfer prynu tai cyngor</t>
  </si>
  <si>
    <t>Gwella ac atgyweirio - tai concrit cydnerth parod HRA</t>
  </si>
  <si>
    <t>Gwella ac atgyweirio anheddau HRA eraill</t>
  </si>
  <si>
    <t>Perchentyaeth cost isel (HRA)</t>
  </si>
  <si>
    <t>HRA arall</t>
  </si>
  <si>
    <t>Gwaith amgylcheddol mewn ardaloedd adnewyddu</t>
  </si>
  <si>
    <t>Atgyweitio grŵp</t>
  </si>
  <si>
    <t>Clirio slymiau</t>
  </si>
  <si>
    <t>Perchentyaeth cost isel (ddim HRA)</t>
  </si>
  <si>
    <t>Grantiau adnewyddu</t>
  </si>
  <si>
    <t>Grantiau eraill</t>
  </si>
  <si>
    <t>Benthyca i landlordiaid cymdeithasol cofrestredig</t>
  </si>
  <si>
    <t>Benthyca i fenthycwyr eraill</t>
  </si>
  <si>
    <t>Gweithgareddau a chyfleusterau y celfyddydau (gan gynnwys theatrau)</t>
  </si>
  <si>
    <t>Datblygu chwaraeon a chwarae plant</t>
  </si>
  <si>
    <t>Adfer tir diffaith (cymorth grant)</t>
  </si>
  <si>
    <t>Cynllunio a datblygu (gan gynnwys safleoedd Sipsiwn)</t>
  </si>
  <si>
    <r>
      <t xml:space="preserve">Mae'r ffigurau mewn </t>
    </r>
    <r>
      <rPr>
        <b/>
        <sz val="10"/>
        <rFont val="Arial"/>
        <family val="2"/>
      </rPr>
      <t>glas</t>
    </r>
    <r>
      <rPr>
        <sz val="10"/>
        <rFont val="Arial"/>
        <family val="2"/>
      </rPr>
      <t xml:space="preserve"> yn cael eu cyfrifo, mae'r celloedd wedi'u diogelu</t>
    </r>
  </si>
  <si>
    <t>Caffael tir ac adeiladau presennol</t>
  </si>
  <si>
    <t>Adeiladau newydd, addasu ac adnewyddu</t>
  </si>
  <si>
    <t>Cerbydau</t>
  </si>
  <si>
    <t>Peiriannau ac offer safle</t>
  </si>
  <si>
    <t>Total expenditure on fixed assets</t>
  </si>
  <si>
    <t>Cyfanswm gwariant ar asedau sefydlog</t>
  </si>
  <si>
    <t>Grantiau cyfalaf</t>
  </si>
  <si>
    <t>Blanesymiau cyfalaf</t>
  </si>
  <si>
    <t>Asedau sefylog annirweddol</t>
  </si>
  <si>
    <t>Gwerthu asedau sefydlog</t>
  </si>
  <si>
    <t>Ad-dalu blaensymiau a grantiau cyfalaf</t>
  </si>
  <si>
    <t>Total receipts</t>
  </si>
  <si>
    <t xml:space="preserve">Asedau nad ydynt yn cael eu cyllido gan wariant cyfalaf ALl </t>
  </si>
  <si>
    <t>Gwariant a derbyniadau cyfalaf</t>
  </si>
  <si>
    <t>Gwariant</t>
  </si>
  <si>
    <t>Derbyniadau</t>
  </si>
  <si>
    <t>COR 4:         Alldro cyfalaf 4</t>
  </si>
  <si>
    <t>Crynodeb cyfrif cyfalaf a chyllido gwariant cyfalaf, 2014-15</t>
  </si>
  <si>
    <t>Bloc gwasanaethau (COR 1-2 cyfeiriadau cyfatebol)</t>
  </si>
  <si>
    <t>Tai (llinell 36)</t>
  </si>
  <si>
    <t>Ardoll Trosglwyddo Gwirfoddol ar Raddfa Fawr</t>
  </si>
  <si>
    <t>Caffael cyfalaf cyfranddaliadau neu gyfalaf benthyg</t>
  </si>
  <si>
    <t>Gwariant drwy gyfarwyddyd adran 16(2)</t>
  </si>
  <si>
    <t>Cael gwared ar gyfalaf cyfranddalaiadau neu gyfalaf benthyg</t>
  </si>
  <si>
    <t>Total capital receipts</t>
  </si>
  <si>
    <t>Cyfanswm derbyniadau cyfalaf</t>
  </si>
  <si>
    <t>Total capital expenditure and receipts:</t>
  </si>
  <si>
    <t>Cyfanswm gwariant a derbyniadau cyfalaf:</t>
  </si>
  <si>
    <t>Adnoddau i'w defnyddio i gyllido gwariant cyfalaf</t>
  </si>
  <si>
    <t>Grantiau cyfalaf gan Lywodraeth Cymru ac Adrannau eraill Llywodraeth y DU</t>
  </si>
  <si>
    <t>Grantiau o Gronfeydd Strwythurol Ewropeaidd (gan gynnwys ERDF)</t>
  </si>
  <si>
    <t xml:space="preserve">Grantiau a chyfraniadau gan gyrff cyhoeddus a noddir gan Lywodraeth Cymru / cyrff cyhoeddus anadrannol </t>
  </si>
  <si>
    <t>Cyllid gan y Loteri Genedlaethol</t>
  </si>
  <si>
    <t>Grantiau a chyfraniadau eraill, gan gynnwys rhai gan ddatblygwyr preifat</t>
  </si>
  <si>
    <t>Defnydd o dderbyniadau cyfalaf</t>
  </si>
  <si>
    <t>Lwfans Atgyweiriadau Mawr (MRA)</t>
  </si>
  <si>
    <t>Gwariant cyfalaf a roddwyd ar gyfrif refeniw (ddim HRA)</t>
  </si>
  <si>
    <t>Gwariant cyfalaf a roddwyd ar gyfrif cyfalaf (HRA)</t>
  </si>
  <si>
    <t xml:space="preserve">Trefniadau benthyca a chredyd sy'n denu cymorth y llywodraeth ganolog (ddim HRA)  </t>
  </si>
  <si>
    <t xml:space="preserve">Trefniadau benthyca a chredyd sy'n denu cymorth y llywodraeth ganolog  (HRA)  </t>
  </si>
  <si>
    <t>Trefniadau benthyca a chredyd eraill (ddim HRA)</t>
  </si>
  <si>
    <t>Trefniadau benthyca a chredyd eraill (HRA)</t>
  </si>
  <si>
    <t>Total resources used to finance capital expenditure (the sum of the figures in the white cells above)</t>
  </si>
  <si>
    <t>Cyfanswm yr adnoddau a ddefnyddiwyd i gyllido gwariant cyfalaf (swm y ffigurau yn y celloedd gwyn uchod)</t>
  </si>
  <si>
    <t>Cwblhewch y llinellau isod ar sail Menter Cyllid Preifat (PFI) 'Ar y Fantolen'</t>
  </si>
  <si>
    <t>Gofyniad cyllido cyfalaf:</t>
  </si>
  <si>
    <t>Gofyniad Cyllido Cyfalaf fel yr oedd ar 1 Ebrill</t>
  </si>
  <si>
    <t>Darpariaeth Isafswm Refeniw a chyfraniadau gwirfoddol</t>
  </si>
  <si>
    <t>Benthyca, credyd a buddsoddiadau ar ddechrau'r flwyddyn:</t>
  </si>
  <si>
    <t>Benthyca gros fel yr oedd ar ddechrau'r flwyddyn</t>
  </si>
  <si>
    <t>Rhwymedigaethau hirdymor eraill ar ddechrau'r flwyddyn</t>
  </si>
  <si>
    <t>Buddsoddiadau ar ddechrau'r flwyddyn</t>
  </si>
  <si>
    <t>Benthyca. credyd a buddsoddiadau ar ddiwedd y flwyddyn</t>
  </si>
  <si>
    <t>Benthyca gros ar ddiwedd y flwyddyn</t>
  </si>
  <si>
    <t>Rhwymedigaethau hirdymor eraill ar ddiwedd y flwyddyn</t>
  </si>
  <si>
    <t>Buddsoddiadau ar ddiwedd y flwyddyn</t>
  </si>
  <si>
    <t>Ffin weithredol a therfyn awdurdodedig</t>
  </si>
  <si>
    <t>Ffin weithredol ar gyfer dyled allanol ar ddechrau'r flwyddyn</t>
  </si>
  <si>
    <t>Terfyn awdurdodedig ar gyfer dyled allanol ar ddechrau'r flwyddyn</t>
  </si>
  <si>
    <t>Ffin weithredol ar gyfer dyled allanol ar ddiwedd y flwyddyn</t>
  </si>
  <si>
    <t>Terfyn awdurdodedig ar gyfer dyled allanol ar ddiwedd y flwyddyn</t>
  </si>
  <si>
    <t>Total receipts:</t>
  </si>
  <si>
    <t>Cyfanswm derbyniadau:</t>
  </si>
  <si>
    <t>Memorandwm:</t>
  </si>
  <si>
    <t>Rhwymedigaethau ychwanegol cwmnïau Awdurdodau Lleol:</t>
  </si>
  <si>
    <t>Benthyca gros a rhwymedigaethau hirdymor eraill ar ddechrau'r flwyddyn</t>
  </si>
  <si>
    <t>Benthyca gros a rhwymedigaethau hirdymor eraill ar ddiwedd y flwyddyn</t>
  </si>
  <si>
    <t>Benthyca HRA gros heb gymorth:</t>
  </si>
  <si>
    <t>Ar ddechrau'r flwyddyn</t>
  </si>
  <si>
    <t>Ar ddiwedd y flwyddyn</t>
  </si>
  <si>
    <t>Ffigurau'r Awdurdod ar gyfer y Fenter Benthyca Llywodraeth Leol (LGBI) ar gyfer gwella priffyrdd</t>
  </si>
  <si>
    <t>Swm sydd wedi'i gynnwys yn llinell 31.1 uchod sy'n gysylltiedig â'r LGBI ar gyfer gwella priffyrdd</t>
  </si>
  <si>
    <t>Defnyddiwch y celloedd gwyn yn unig i gofnodi</t>
  </si>
  <si>
    <t>Mae'r celloedd glas wedi'u cyfrifo</t>
  </si>
  <si>
    <t>Nid yw'r celloedd aur yn cael eu defnyddio</t>
  </si>
  <si>
    <t>Dylai bod llinellau 32 a 19 yn hafal. Caiff unrhyw wahaniaeth ei ddangos yma:</t>
  </si>
  <si>
    <t>Cyllido PFI 'ar y fantolen'</t>
  </si>
  <si>
    <t>Cyllido cyfalaf</t>
  </si>
  <si>
    <t>Llinell 30.1 a 30.2 yn fwy na 0</t>
  </si>
  <si>
    <t>Llinell 35 fel canran o linell 33</t>
  </si>
  <si>
    <t>Llinell 38 + llinell 39 yn fwy na 0</t>
  </si>
  <si>
    <t>Liinell 38 + llinell 39 fel canran o linell 33</t>
  </si>
  <si>
    <t>Llinell 40 neu 43 yn fwy nag 1</t>
  </si>
  <si>
    <t>Llinell 41 + llinell 42 yn fwy na 0</t>
  </si>
  <si>
    <t>Llinell 44 yn fwy na neu yn hafal i linell 38 + llinell 39</t>
  </si>
  <si>
    <t>Llinell 45 yn fwy na neu yn hafal i linell 44</t>
  </si>
  <si>
    <t>Llinell 47 yn fwy na neu yn hafal i linell 46</t>
  </si>
  <si>
    <t>Llinell 46 yn fwy na neu yn hafal i linell 41 + llinell 42</t>
  </si>
  <si>
    <t>Llinell 45 yn fwy na neu yn hafal i linell 37</t>
  </si>
  <si>
    <t>Llinell 47 yn fwy na neu yn hafal i linell 37</t>
  </si>
  <si>
    <t>Llinell 48 yn llai na hanner llinell 38 + llinell 39</t>
  </si>
  <si>
    <t>Llinell 49 + yn llai na hanner llinell 41 + llinell 42</t>
  </si>
  <si>
    <t>Llinell 43 yn fwy na 0</t>
  </si>
  <si>
    <t>Llinell 44 yn fwy na 0</t>
  </si>
  <si>
    <t>Llinell 45 yn fwy na 0</t>
  </si>
  <si>
    <t>Llinell 46 yn fwy na 0</t>
  </si>
  <si>
    <t>Llinell 47 yn fwy na 0</t>
  </si>
  <si>
    <t>Cyfanswm</t>
  </si>
  <si>
    <t>sylw</t>
  </si>
  <si>
    <t>Defnyddiwch y blwch isod i roi naratif ategol cryno ar unrhyw newid mewn amgylchiadau a allai effeithio ar</t>
  </si>
  <si>
    <t>y ffigurau rhagolygol o gwmpas yr amser hwn.</t>
  </si>
  <si>
    <t>Er enghraifft, gallai'r canlynol achosi newid neu addasiad i'r rhagolygon: oedi o ran prosiectau, newid blaenoriaethau ar gyfer budssoddi cyfalaf</t>
  </si>
  <si>
    <t xml:space="preserve">neu i bennu - dros dro - unrhyw wariant cyfalaf y gellid bod angen cyfarwyddyd cyfalafu ar ei gyfer. </t>
  </si>
  <si>
    <t>Written off as bad debts in-year</t>
  </si>
  <si>
    <t xml:space="preserve">   Y swm a gafodd ei ddileu fel dyled ddrwg yn ystod y flwyddyn</t>
  </si>
  <si>
    <t>Received in-year</t>
  </si>
  <si>
    <t xml:space="preserve">   Y swm a gafwyd yn ystod y flwyddyn</t>
  </si>
  <si>
    <t>Arrears outstanding at the end of the year (line 3 - line 4 - line 5)</t>
  </si>
  <si>
    <t xml:space="preserve">   Yr ôl-ddyledion heb eu talu ar ddiwedd y flwyddyn (llinell 3 - llinell 4 - 
   llinell 5)</t>
  </si>
  <si>
    <t>£ miloedd</t>
  </si>
  <si>
    <t>'+ Line 16 (£K)</t>
  </si>
  <si>
    <t>+ llinell 16 (£K)</t>
  </si>
  <si>
    <t>'+ row 10</t>
  </si>
  <si>
    <t>+ rhes 10</t>
  </si>
  <si>
    <t>1 April 1993 to 31 March 2015</t>
  </si>
  <si>
    <t>1 Ebrill 1993 i 31 Mawrth 2015</t>
  </si>
  <si>
    <t>transport companies</t>
  </si>
  <si>
    <t>cwmniau trafnidiaeth gyhoeddus</t>
  </si>
  <si>
    <t>of which:</t>
  </si>
  <si>
    <t>ac o hynny:</t>
  </si>
  <si>
    <t>Commutation adjustment</t>
  </si>
  <si>
    <t>Addasiad cymudiad</t>
  </si>
  <si>
    <t>Other adjustments</t>
  </si>
  <si>
    <t>Addasiadau eraill</t>
  </si>
  <si>
    <t>Other adjustments to net current expenditure</t>
  </si>
  <si>
    <t>Addasiadau eraill i wariant net cyfredol</t>
  </si>
  <si>
    <t>Adjustment for contributions to (col 1b) / from (col 6b) school reserves (see note)</t>
  </si>
  <si>
    <t>Addasiadau ar gyfer cyfraniadau i 1(b) / o (6b) gronfeydd wrth gefn ysgolion</t>
  </si>
  <si>
    <t>In year Council Tax adjustments</t>
  </si>
  <si>
    <t>Addasiadau'r Dreth Gyngor yn ystod y flwyddyn</t>
  </si>
  <si>
    <t>Other continuing education</t>
  </si>
  <si>
    <t xml:space="preserve">Addysg barhaus arall </t>
  </si>
  <si>
    <t>Addysg arbennig</t>
  </si>
  <si>
    <t>Special education:</t>
  </si>
  <si>
    <t>Addysg arbennig:</t>
  </si>
  <si>
    <t>Continuing education:</t>
  </si>
  <si>
    <t>Addysg barhaus:</t>
  </si>
  <si>
    <t>Addysg cyn-gynradd</t>
  </si>
  <si>
    <t>Road safety education and safe routes (including school crossing patrols)</t>
  </si>
  <si>
    <t>Addysg diogelwch ar y ffyrdd a llwybrau diogel (gan gynnwys hebryngwyr croesfannau ysgol)</t>
  </si>
  <si>
    <t>Community education</t>
  </si>
  <si>
    <t>Addysg gymunedol</t>
  </si>
  <si>
    <t>Addysg gynradd</t>
  </si>
  <si>
    <t>Adult education</t>
  </si>
  <si>
    <t>Addysg i oedolion</t>
  </si>
  <si>
    <t>Education of children looked after</t>
  </si>
  <si>
    <t>Addysg plant sy'n derbyn gofal</t>
  </si>
  <si>
    <t>Addysg uwchradd</t>
  </si>
  <si>
    <t>Education:</t>
  </si>
  <si>
    <t>Addysg:</t>
  </si>
  <si>
    <t>Private sector housing renewal</t>
  </si>
  <si>
    <t>Adnewyddu tai'r sector preifat</t>
  </si>
  <si>
    <t>SECTION A - Council tax</t>
  </si>
  <si>
    <t>ADRAN A – y Dreth Gyngor</t>
  </si>
  <si>
    <t>SECTION B - Non-domestic rates</t>
  </si>
  <si>
    <t>ADRAN B – Ardrethi annomestig</t>
  </si>
  <si>
    <t>Ailgylchu</t>
  </si>
  <si>
    <t>Waste minimisation</t>
  </si>
  <si>
    <t>Lleihau gwastraff</t>
  </si>
  <si>
    <t>Arall - Amaethyddiaeth a physgodfeydd</t>
  </si>
  <si>
    <t>Agriculture and fisheries:</t>
  </si>
  <si>
    <t>Amaethyddiaeth a physgodfeydd:</t>
  </si>
  <si>
    <t>Estimated in-year net collectable debit</t>
  </si>
  <si>
    <t>Amcangyfrif o ddebyd net sydd i'w gasglu yn ystod y flwyddyn</t>
  </si>
  <si>
    <t>Amddiffyn yr arfordir</t>
  </si>
  <si>
    <t>Museums and art galleries</t>
  </si>
  <si>
    <t>Amgueddfeydd ac orielau celf</t>
  </si>
  <si>
    <t>Amgueddfeydd ac orielau</t>
  </si>
  <si>
    <t>Amrywiol</t>
  </si>
  <si>
    <t>Other services to adults aged under 65 with a physical disability or sensory impairment</t>
  </si>
  <si>
    <t>Gwasanaethau eraill i oedolion o dan 65 oed sydd ag anabledd corfforol neu nam ar eu synhwyrau</t>
  </si>
  <si>
    <t>Other services to adults aged under 65 with learning disabilities</t>
  </si>
  <si>
    <t>Gwasanaethau eraill i oedolion o dan 65 oed sydd ag anableddau dysgu</t>
  </si>
  <si>
    <t>Additional learning needs - special</t>
  </si>
  <si>
    <t>Anghenion dysgu ychwanegol - Ysgolion arbennig</t>
  </si>
  <si>
    <t>Additional learning needs - middle</t>
  </si>
  <si>
    <t>Anghenion dysgu ychwanegol - Ysgolion canol</t>
  </si>
  <si>
    <t>Additional learning needs - primary</t>
  </si>
  <si>
    <t>Anghenion dysgu ychwanegol - Ysgolion cynradd</t>
  </si>
  <si>
    <t>Additional learning needs - nursery</t>
  </si>
  <si>
    <t>Anghenion dysgu ychwanegol - Ysgolion meithrin</t>
  </si>
  <si>
    <t>Additional learning needs - secondary</t>
  </si>
  <si>
    <t>Anghenion dysgu ychwanegol - Ysgolion uwchradd</t>
  </si>
  <si>
    <t>Arall</t>
  </si>
  <si>
    <t>Archives</t>
  </si>
  <si>
    <t>Archifau</t>
  </si>
  <si>
    <t>Levies</t>
  </si>
  <si>
    <t>Ardollau</t>
  </si>
  <si>
    <t>Other levies</t>
  </si>
  <si>
    <t>Ardollau eraill</t>
  </si>
  <si>
    <t>Levies to national police services</t>
  </si>
  <si>
    <t>Ardollau i wasanaethau heddlu cenedlaethol</t>
  </si>
  <si>
    <t>Levies to/from national parks</t>
  </si>
  <si>
    <t>Ardollau i/o parciau cenedlaethol</t>
  </si>
  <si>
    <t>Levies paid to the Internal Drainage Boards</t>
  </si>
  <si>
    <t>Ardollau a dalwyd i Fyrddau Draenio Mewnol</t>
  </si>
  <si>
    <t>Levies paid to the Environment Agency in respect of</t>
  </si>
  <si>
    <t>Ardollau a dalwyd i Asiantaeh yr Amgylchedd mewn perthynas â</t>
  </si>
  <si>
    <t>Levies paid to the Environment Agency acting as an</t>
  </si>
  <si>
    <t xml:space="preserve">Ardollau a dalwyd i Asiantaeth yr Amgylchedd yn gweithredu fel </t>
  </si>
  <si>
    <t>Non distributed costs</t>
  </si>
  <si>
    <t>Costau heb eu dosbarthu</t>
  </si>
  <si>
    <t>adjustment account</t>
  </si>
  <si>
    <t>cyfrif addasiad</t>
  </si>
  <si>
    <t>Debt financing</t>
  </si>
  <si>
    <t>Ariannu dyled</t>
  </si>
  <si>
    <t>School catering</t>
  </si>
  <si>
    <t>Arlwyo mewn ysgolion</t>
  </si>
  <si>
    <t>School catering - special</t>
  </si>
  <si>
    <t>Arlwyo mewn ysgolion - Ysgolion arbennig</t>
  </si>
  <si>
    <t>School catering - middle</t>
  </si>
  <si>
    <t>Arlwyo mewn ysgolion - Ysgolion canol</t>
  </si>
  <si>
    <t>School catering - primary</t>
  </si>
  <si>
    <t>Arlwyo mewn ysgolion - Ysgolion cynradd</t>
  </si>
  <si>
    <t>School catering - nursery</t>
  </si>
  <si>
    <t>Arlwyo mewn ysgolion - Ysgolion meithrin</t>
  </si>
  <si>
    <t>School catering - secondary</t>
  </si>
  <si>
    <t>Arlwyo mewn ysgolion - Ysgolion uwchradd</t>
  </si>
  <si>
    <t>Assessment and care management</t>
  </si>
  <si>
    <t>Asesu a rheoli gofal</t>
  </si>
  <si>
    <t>Repairs and maintenance</t>
  </si>
  <si>
    <t xml:space="preserve">Atgyweirio a chynnal a chadw </t>
  </si>
  <si>
    <t>Teachers</t>
  </si>
  <si>
    <t>Athrawon</t>
  </si>
  <si>
    <t>Awdurdod</t>
  </si>
  <si>
    <t>Housing advances</t>
  </si>
  <si>
    <t>Blaensymiau tai</t>
  </si>
  <si>
    <t>Capital financing element within Private Finance</t>
  </si>
  <si>
    <t>Elfen cyllido cyfalaf o fewn Cyllid Preifat</t>
  </si>
  <si>
    <t>BR1, line 5 (£K)</t>
  </si>
  <si>
    <t>BR1, llinell 5 (£K)</t>
  </si>
  <si>
    <t>BR1, line 7</t>
  </si>
  <si>
    <t>BR1, llinell 7</t>
  </si>
  <si>
    <t>Council tax benefit and administration (e)</t>
  </si>
  <si>
    <t>Budd-dal y dreth gyngor a gweinyddiaeth (e)</t>
  </si>
  <si>
    <t>Council tax benefit, administration and local tax collection:</t>
  </si>
  <si>
    <t>Budd-dâl y dreth gyngor, gweinyddu a chasglu'r dreth leol:</t>
  </si>
  <si>
    <t>Local safeguarding children board</t>
  </si>
  <si>
    <t>Bwrdd Lleol Diogelu Plant</t>
  </si>
  <si>
    <t>Conservation of cultural heritage</t>
  </si>
  <si>
    <t>Cadwraeth treftadaeth ddiwylliannol</t>
  </si>
  <si>
    <t>Conservation of the natural environment</t>
  </si>
  <si>
    <t>Cadwraeth yr amgylchedd naturiol</t>
  </si>
  <si>
    <t>Substance abuse (addictions)</t>
  </si>
  <si>
    <t>Camddefnyddio sylweddau (dibyniaeth)</t>
  </si>
  <si>
    <t>Children's Centres/Flying Start and Early Years</t>
  </si>
  <si>
    <t>Canolfannau Plant / Dechrau’n Deg a'r Blynyddoedd Cynnar</t>
  </si>
  <si>
    <t>Percentage</t>
  </si>
  <si>
    <t>Canran</t>
  </si>
  <si>
    <t>Local tax collection</t>
  </si>
  <si>
    <t>Casglu'r dreth leol</t>
  </si>
  <si>
    <t>Casglu gwastraff</t>
  </si>
  <si>
    <t>Gwaredu gwastraff</t>
  </si>
  <si>
    <t>casglu, dadansoddi a chyfuno'r cofnodion a'r data gofynnol</t>
  </si>
  <si>
    <t>CTC (row 8), 2014-15</t>
  </si>
  <si>
    <t>Casglu'r Dreth Gyngor (rhes 8), 2014-15</t>
  </si>
  <si>
    <t>CTC (row 8), 2015-16</t>
  </si>
  <si>
    <t>Casglu'r Dreth Gyngor (rhes 8), 2015-16</t>
  </si>
  <si>
    <t>Support to operators</t>
  </si>
  <si>
    <t>Cefnogi gweithredwyr</t>
  </si>
  <si>
    <t>Supporting people</t>
  </si>
  <si>
    <t>Cefnogi pobl</t>
  </si>
  <si>
    <t>Rangers, estates and volunteers</t>
  </si>
  <si>
    <t>Ceidwaid, ystadau a gwirfoddolwyr</t>
  </si>
  <si>
    <t>Asylum seekers - children and families:</t>
  </si>
  <si>
    <t>Ceiswyr lloches - plant a theuluoedd:</t>
  </si>
  <si>
    <t>Unaccompanied children (excluding children looked after)</t>
  </si>
  <si>
    <t>Plant ar eu pen eu hunain (ac eithrio plant sy'n derbyn gofal)</t>
  </si>
  <si>
    <t>Families</t>
  </si>
  <si>
    <t>Teuluoedd</t>
  </si>
  <si>
    <t>Asylum seekers - lone adults and NRPF</t>
  </si>
  <si>
    <t>Ceiswyr lloches - unig oedolion a dim cefnogaeth o gronfeydd cyhoeddus</t>
  </si>
  <si>
    <t>Sports and recreation:</t>
  </si>
  <si>
    <t>Chwaraeon a hamdden:</t>
  </si>
  <si>
    <t>Recreation and sport</t>
  </si>
  <si>
    <t>Hamdden a chwaraeon</t>
  </si>
  <si>
    <t>Clir</t>
  </si>
  <si>
    <t>Home to college transport</t>
  </si>
  <si>
    <t>Trafnidiaeth o'r cartref i'r coleg</t>
  </si>
  <si>
    <t>Home to school transport</t>
  </si>
  <si>
    <t>Trafnidiaeth o'r cartref i'r ysgol</t>
  </si>
  <si>
    <t>Home to school transport - special</t>
  </si>
  <si>
    <t>Trafnidiaeth o'r cartref i'r ysgol - Ysgolion arbennig</t>
  </si>
  <si>
    <t>Home to school transport - middle</t>
  </si>
  <si>
    <t>Trafnidiaeth o'r cartref i'r ysgol - Ysgolion canol</t>
  </si>
  <si>
    <t>Home to school transport - primary</t>
  </si>
  <si>
    <t>Trafnidiaeth o'r cartref i'r ysgol - Ysgolion cynradd</t>
  </si>
  <si>
    <t>Home to school transport - nursery</t>
  </si>
  <si>
    <t>Trafnidiaeth o'r cartref i'r ysgol - Ysgolion meithrin</t>
  </si>
  <si>
    <t>Home to school transport - secondary</t>
  </si>
  <si>
    <t>Trafnidiaeth o'r cartref i'r ysgol - Ysgolion uwchradd</t>
  </si>
  <si>
    <t>reserves (excluding schools)</t>
  </si>
  <si>
    <t>cronfeydd wrth gefn (ac eithrio ysgolion)</t>
  </si>
  <si>
    <t>Authority code</t>
  </si>
  <si>
    <t>Cod yr awdurdod</t>
  </si>
  <si>
    <t>Registration of electors and conducting elections</t>
  </si>
  <si>
    <t>Cofrestru etholwyr a chynnal etholiadau</t>
  </si>
  <si>
    <t>Commissioning and children's services strategy</t>
  </si>
  <si>
    <t>Comisiynu a strategaeth gwasanaethau plant</t>
  </si>
  <si>
    <t>Other central costs</t>
  </si>
  <si>
    <t>Costau canolog eraill</t>
  </si>
  <si>
    <t>Non-domestic rates collection costs</t>
  </si>
  <si>
    <t>Costau casglu ardrethi annomestig</t>
  </si>
  <si>
    <t>Council tax collection costs</t>
  </si>
  <si>
    <t>Costau casglu’r dreth gyngor</t>
  </si>
  <si>
    <t>Central and departmental support services costs</t>
  </si>
  <si>
    <t>Costau gwasanaethau cymorth canolog ac adrannol</t>
  </si>
  <si>
    <t>Climate change costs</t>
  </si>
  <si>
    <t>Costau newid hinsawdd</t>
  </si>
  <si>
    <t>Partnership costs</t>
  </si>
  <si>
    <t>Costau partneriaeth</t>
  </si>
  <si>
    <t>HRA related pension costs</t>
  </si>
  <si>
    <t>Costau pensiwn sy'n gysylltiedig â'r HRA</t>
  </si>
  <si>
    <t>Corporate and democratic core</t>
  </si>
  <si>
    <t>Craidd corfforaethol a democrataidd</t>
  </si>
  <si>
    <t>CTC, line 7 + 10 minus BR1 lines 5 + 16 (in thousands)</t>
  </si>
  <si>
    <t>Casglu'r Dreth Gyngor, llinell 7 + 10 minws llinellau 5 + 16 BR1 (mewn miloedd)</t>
  </si>
  <si>
    <t>CTC, row 7</t>
  </si>
  <si>
    <t>Casglu'r Dreth Gyngor, rhes 7</t>
  </si>
  <si>
    <t>CTC, row 8</t>
  </si>
  <si>
    <t>Casglu'r Dreth Gyngor, rhes 8</t>
  </si>
  <si>
    <t>Intelligence</t>
  </si>
  <si>
    <t>Cudd-wybodaeth</t>
  </si>
  <si>
    <t>cwblhau, gwirio, diwygio a chymeradwyo'r ffurflen.</t>
  </si>
  <si>
    <t>Public transport co-ordination</t>
  </si>
  <si>
    <t>Cydgysylltu trafnidiaeth gyhoeddus</t>
  </si>
  <si>
    <t>Totals</t>
  </si>
  <si>
    <t>Cyfansymiau</t>
  </si>
  <si>
    <t>Total Additional learning needs</t>
  </si>
  <si>
    <t>Cyfanswm anghenion dysgu ychwanegol</t>
  </si>
  <si>
    <t>Aggregate of council tax precepts (lines 100 to 104)</t>
  </si>
  <si>
    <t>Swm cyfunol praeseptau'r dreth gyngor  (llinell 100 i 104)</t>
  </si>
  <si>
    <t>Total school catering</t>
  </si>
  <si>
    <t>Cyfanswm arlwyo mewn ysgolion</t>
  </si>
  <si>
    <t xml:space="preserve">Public transport </t>
  </si>
  <si>
    <t>Cyfanswm trafnidiaeth gyhoeddus</t>
  </si>
  <si>
    <t>Total Home to school transport</t>
  </si>
  <si>
    <t>Cyfanswm trafnidiaeth o'r cartref i'r ysgol</t>
  </si>
  <si>
    <t>Total housing council fund</t>
  </si>
  <si>
    <t>Total other LA budget on schools</t>
  </si>
  <si>
    <t>Cyfanswm cyllid ALl arall ar ysgolion</t>
  </si>
  <si>
    <t>Total School budget</t>
  </si>
  <si>
    <t>Cyfanswm cyllideb ysgol</t>
  </si>
  <si>
    <t>Total other school budget</t>
  </si>
  <si>
    <t>Cyfanswm cyllideb ysgol arall</t>
  </si>
  <si>
    <t>Total transport planning, highways, roads and transport</t>
  </si>
  <si>
    <t>Cyfanswm cynllunio trafnidiaeth, priffyrdd, ffyrdd a thrafnidiaeth</t>
  </si>
  <si>
    <t>Total Inter authority recoupment</t>
  </si>
  <si>
    <t>Cyfanswm digollediad rhwng awdurdodau</t>
  </si>
  <si>
    <t>Total expenditure delegated to middle schools</t>
  </si>
  <si>
    <t xml:space="preserve">Cyfanswm gwariant wedi ei ddirprwyo i ysgolion canol </t>
  </si>
  <si>
    <t>Total non-school education expenditure</t>
  </si>
  <si>
    <t>Cyfanswm gwariant addysg heblaw ysgolion</t>
  </si>
  <si>
    <t>Total service expenditure</t>
  </si>
  <si>
    <t>Cyfanswm gwariant ar wasanaethau</t>
  </si>
  <si>
    <t>Total Capital expenditure charged to revenue account</t>
  </si>
  <si>
    <t>Cyfanswm gwariant cyfalaf a roddwyd ar y cyfrif refeniw</t>
  </si>
  <si>
    <t>Total education revenue expenditure</t>
  </si>
  <si>
    <t>Cyfanswm gwariant refeniw ar addysg</t>
  </si>
  <si>
    <t>Total delegated schools expenditure</t>
  </si>
  <si>
    <t>Cyfanswm gwariant wedi'i ddirprwyo i ysgolion</t>
  </si>
  <si>
    <t>Total expenditure delegated to special schools</t>
  </si>
  <si>
    <t>Cyfanswm gwariant wedi'i ddirprwyo i ysgolion arbennig</t>
  </si>
  <si>
    <t>Total expenditure delegated to primary schools</t>
  </si>
  <si>
    <t>Cyfanswm gwariant wedi'i ddirprwyo i ysgolion cynradd</t>
  </si>
  <si>
    <t>Total expenditure delegated to nursery schools</t>
  </si>
  <si>
    <t>Cyfanswm gwariant wedi'i ddirprwyo i ysgolion meithrin</t>
  </si>
  <si>
    <t>Total expenditure delegated to secondary schools</t>
  </si>
  <si>
    <t>Cyfanswm gwariant wedi'i ddirprwyo i ysgolion uwchradd</t>
  </si>
  <si>
    <t>Total school expenditure</t>
  </si>
  <si>
    <t>Cyfanswm gwariant ysgol</t>
  </si>
  <si>
    <t>Total services for young people</t>
  </si>
  <si>
    <t>Cyfanswm gwasanaethau ar gyfer pobl ifanc</t>
  </si>
  <si>
    <t>Cyfanswm gwasanaeth ieuenctid</t>
  </si>
  <si>
    <t>Total social services</t>
  </si>
  <si>
    <t>Cyfanswm gwasanaethau cymdeithasol</t>
  </si>
  <si>
    <t>Total social services for adults aged under 65</t>
  </si>
  <si>
    <t>Cyfanswm gwasanaethau cymdeithasol i oedolion o dan 65 oed</t>
  </si>
  <si>
    <t>Total family support services</t>
  </si>
  <si>
    <t>Cyfanswm gwasanaethau cymorth i deuluoedd</t>
  </si>
  <si>
    <t>Other children's and families' services</t>
  </si>
  <si>
    <t>Cyfanswm gwasanaethau eraill i blant a theuluoedd</t>
  </si>
  <si>
    <t>Total children's and families' services</t>
  </si>
  <si>
    <t>Cyfanswm gwasanaethau i blant a theuluoedd</t>
  </si>
  <si>
    <t>Total children looked after services</t>
  </si>
  <si>
    <t>Cyfanswm gwasanaethau i blant sy'n derbyn gofal</t>
  </si>
  <si>
    <t>Total asylum seekers children's services</t>
  </si>
  <si>
    <t>Cyfanswm gwasanaethau i blant sy'n geiswyr lloches</t>
  </si>
  <si>
    <t>Total School improvement</t>
  </si>
  <si>
    <t>Cyfanswm gwellia ysgolion</t>
  </si>
  <si>
    <t>Total Income</t>
  </si>
  <si>
    <t>Cyfanswm Incwm</t>
  </si>
  <si>
    <t>Total Access to education</t>
  </si>
  <si>
    <t>Cyfanswm mynediad at addysg</t>
  </si>
  <si>
    <t>Total other adult services (aged under 65)</t>
  </si>
  <si>
    <t>Cyfanswm gwasanaethau eraill i oedolion (o dan 65 oed)</t>
  </si>
  <si>
    <t>Total adults aged under 65 with a physical disability etc.</t>
  </si>
  <si>
    <t>Cyfanswm oedolion o dan 65 oed ag anabledd corfforol</t>
  </si>
  <si>
    <t xml:space="preserve">Total adults aged under 65 with learning disabilities </t>
  </si>
  <si>
    <t>Cyfanswm oedolion o dan 65 oed ag anableddau dysgu</t>
  </si>
  <si>
    <t xml:space="preserve">Total adults aged under 65 with mental health needs </t>
  </si>
  <si>
    <t>Cyfanswm oedolion o dan 65 oed ag anghenion iechyd meddwl</t>
  </si>
  <si>
    <t>Total older people (aged 65 and over)</t>
  </si>
  <si>
    <t>Cyfanswm pobl hŷn (65 oed a hŷn)</t>
  </si>
  <si>
    <t>Total highways and roads</t>
  </si>
  <si>
    <t>Cyfanswm priffyrdd a ffyrdd</t>
  </si>
  <si>
    <t>Total Strategic management</t>
  </si>
  <si>
    <t>Cyfanswm rheoli strategol</t>
  </si>
  <si>
    <t>Total traffic management and road safety</t>
  </si>
  <si>
    <t>Cyfanswm rheoli traffig a diogelwch ar y ffyrdd</t>
  </si>
  <si>
    <t>Total Staff</t>
  </si>
  <si>
    <t>Cyfanswm staff</t>
  </si>
  <si>
    <t>In-year debit for the year</t>
  </si>
  <si>
    <t>Cyfanswm y debyd yn ystod y flwyddyn</t>
  </si>
  <si>
    <t>Total arrears brought forward at the start of the year</t>
  </si>
  <si>
    <t>Cyfanswm yr ôl-ddyledion a gafodd eu dwyn ymlaen ar ddechrau'r flwyddyn</t>
  </si>
  <si>
    <t>Equipment and adaptations</t>
  </si>
  <si>
    <t>Cyfarpar ac addasiadau</t>
  </si>
  <si>
    <t>Education equipment</t>
  </si>
  <si>
    <t>Cyfarpar addysg</t>
  </si>
  <si>
    <t>Total LA budget</t>
  </si>
  <si>
    <t>Cyfaswm cyllideb ALl</t>
  </si>
  <si>
    <t>Cyfleusterau chwaraeon</t>
  </si>
  <si>
    <t>Short breaks (respite) for disabled children</t>
  </si>
  <si>
    <t>Egwyliau byr (seibiant) i blant anabl</t>
  </si>
  <si>
    <t>Collection rates for 2015-16:</t>
  </si>
  <si>
    <t>Cyfraddau casglu ar gyfer 2015-16:</t>
  </si>
  <si>
    <t>Contribution to health care of individual children</t>
  </si>
  <si>
    <t>Cyfraniad i ofal iechyd plant unigol</t>
  </si>
  <si>
    <t>Contribution to the HRA (d)</t>
  </si>
  <si>
    <t>Cyfraniad i'r Cyfrif Refeniw Tai (d)</t>
  </si>
  <si>
    <t>Housing revenue account (HRA)</t>
  </si>
  <si>
    <t>Cyfrif refeniw tai (HRA)</t>
  </si>
  <si>
    <t>LA budget</t>
  </si>
  <si>
    <t>Cyllideb ALI</t>
  </si>
  <si>
    <t>LA budget - special</t>
  </si>
  <si>
    <t>Cyllideb ALl - Ysgolion arbennig</t>
  </si>
  <si>
    <t>LA budget - middle</t>
  </si>
  <si>
    <t>Cyllideb ALl - Ysgolion canol</t>
  </si>
  <si>
    <t>LA budget - primary</t>
  </si>
  <si>
    <t>Cyllideb ALl - Ysgolion cynradd</t>
  </si>
  <si>
    <t>LA budget - nursery</t>
  </si>
  <si>
    <t>Cyllideb ALl - ysgolion meithrin</t>
  </si>
  <si>
    <t>LA budget - secondary</t>
  </si>
  <si>
    <t>Cyllideb ALl - Ysgolion uwchradd</t>
  </si>
  <si>
    <t>Other LA budget on schools</t>
  </si>
  <si>
    <t xml:space="preserve">Cyllideb arall yr ALl ar ysgolion </t>
  </si>
  <si>
    <t>Other LA budget on schools - special</t>
  </si>
  <si>
    <t>Cyllideb arall yr ALl ar ysgolion - Ysgolion arbennig</t>
  </si>
  <si>
    <t>Other LA budget on schools - middle</t>
  </si>
  <si>
    <t>Cyllideb arall yr ALl ar ysgolion - Ysgolion canol</t>
  </si>
  <si>
    <t>Other LA budget on schools - primary</t>
  </si>
  <si>
    <t>Cyllideb arall yr ALl ar ysgolion  - Ysgolion cynradd</t>
  </si>
  <si>
    <t>Other LA budget on schools - nursery</t>
  </si>
  <si>
    <t>Cyllideb arall yr ALl ar ysgolion  - ysgolion meithrin</t>
  </si>
  <si>
    <t>Other LA budget on schools - secondary</t>
  </si>
  <si>
    <t>Cyllideb arall yr ALl ar ysgolion  - Ysgolion uwchradd</t>
  </si>
  <si>
    <t>Other school budget - special</t>
  </si>
  <si>
    <t>Cyllideb ysgol arall - - Ysgolion arbennig</t>
  </si>
  <si>
    <t>Other school budget - middle</t>
  </si>
  <si>
    <t>Cyllideb ysgol arall - - Ysgolion canol</t>
  </si>
  <si>
    <t>Other school budget - primary</t>
  </si>
  <si>
    <t>Cyllideb ysgol arall - - Ysgolion cynradd</t>
  </si>
  <si>
    <t>Other School budget - secondary</t>
  </si>
  <si>
    <t>Cyllideb ysgol arall - - Ysgolion uwchradd</t>
  </si>
  <si>
    <t>Other school budget - nursery</t>
  </si>
  <si>
    <t>Cyllideb ysgol arall - meithrin</t>
  </si>
  <si>
    <t>Other LA budget (non-school)</t>
  </si>
  <si>
    <t>Cyllideb ALl arall (heblaw ysgolion)</t>
  </si>
  <si>
    <t>Other schools budget</t>
  </si>
  <si>
    <t>Cyllideb  ysgolion arall</t>
  </si>
  <si>
    <t>School budget - special</t>
  </si>
  <si>
    <t>Cyllideb ysgol - Ysgolion arbennig</t>
  </si>
  <si>
    <t>School budget - middle</t>
  </si>
  <si>
    <t>Cyllideb ysgol - Ysgolion canol</t>
  </si>
  <si>
    <t>School budget - primary</t>
  </si>
  <si>
    <t>Cyllideb ysgol - Ysgolion cynradd</t>
  </si>
  <si>
    <t>School budget - nursery</t>
  </si>
  <si>
    <t>Cyllideb ysgol - Ysgolion meithrin</t>
  </si>
  <si>
    <t>School budget - secondary</t>
  </si>
  <si>
    <t>Cyllideb ysgol - Ysgolion uwchradd</t>
  </si>
  <si>
    <t>Schools budget</t>
  </si>
  <si>
    <t>Cyllideb ysgolion</t>
  </si>
  <si>
    <t>COMPARISONS WITH THE BUDGET REQUIREMENT RETURN (BR1), 2015-16</t>
  </si>
  <si>
    <t>Cymharu a'r ffurflen gofynion cyllidebol (BR1), 2015-16</t>
  </si>
  <si>
    <t>YEAR ON YEAR COMPARISON</t>
  </si>
  <si>
    <t>Cymharu'r naill flwyddyn a'r llall</t>
  </si>
  <si>
    <t>Other support for disabled children</t>
  </si>
  <si>
    <t>Cymorth arall ar gyfer plant anabl</t>
  </si>
  <si>
    <t>Business support</t>
  </si>
  <si>
    <t>Cymorth busnes</t>
  </si>
  <si>
    <t>Special guardianship support</t>
  </si>
  <si>
    <t>Cymorth gwarcheidiaeth arbennig</t>
  </si>
  <si>
    <t>Student support: discretionary awards</t>
  </si>
  <si>
    <t>Cymorth i fyfyrwyr: dyfarniadau dewisol</t>
  </si>
  <si>
    <t>Student support: mandatory awards</t>
  </si>
  <si>
    <t>Cymorth i fyfyrwyr: dyfarniadau gorfodol</t>
  </si>
  <si>
    <t>Student support: Assembly learning grant</t>
  </si>
  <si>
    <t>Cymorth i fyfyrwyr: grant dysgu'r Cynulliad</t>
  </si>
  <si>
    <t>Universal family support</t>
  </si>
  <si>
    <t>Cymorth cyffredinol i deuluoedd</t>
  </si>
  <si>
    <t xml:space="preserve">Targeted family support </t>
  </si>
  <si>
    <t xml:space="preserve">Cymorth wedi'i dargedu i deuluoedd </t>
  </si>
  <si>
    <t>Investigative support</t>
  </si>
  <si>
    <t>Cymorth ymchwiliol</t>
  </si>
  <si>
    <t>Housing advice</t>
  </si>
  <si>
    <t>Cyngor ar dai</t>
  </si>
  <si>
    <t>Children's and young peoples plan</t>
  </si>
  <si>
    <t>Cynllun plant a phobl ifainc</t>
  </si>
  <si>
    <t>Planning and development</t>
  </si>
  <si>
    <t>Cynllunio a datblygu</t>
  </si>
  <si>
    <t>Fire service emergency planning</t>
  </si>
  <si>
    <t>Cynllunio ar gyfer argyfwng -  gwasanaethau tân</t>
  </si>
  <si>
    <t>Forward planning and communities</t>
  </si>
  <si>
    <t>Cynllunio ymlaen a chymunedau</t>
  </si>
  <si>
    <t>Structural maintenance of bridges and culverts</t>
  </si>
  <si>
    <t xml:space="preserve">Cynnal a chadw adeileddol ar bontydd a chwlfertau </t>
  </si>
  <si>
    <t>Structural maintenance of principal roads</t>
  </si>
  <si>
    <t xml:space="preserve">Cynnal a chadw adeileddol ar brif ffyrdd </t>
  </si>
  <si>
    <t>Structural maintenance of other roads</t>
  </si>
  <si>
    <t>Cynnal a chadw adeileddol ar ffyrdd eraill</t>
  </si>
  <si>
    <t>Structural maintenance:</t>
  </si>
  <si>
    <t>Cynnal a chadw adeileddol:</t>
  </si>
  <si>
    <t>Environment, safety and routine maintenance</t>
  </si>
  <si>
    <t>Cynnal a chadw amgylcheddol, diogelwch a rheolaidd</t>
  </si>
  <si>
    <t>Roads routine maintenance (d)</t>
  </si>
  <si>
    <t>Cynnal a chadw rheolaidd ar ffyrdd (d)</t>
  </si>
  <si>
    <t>Primary</t>
  </si>
  <si>
    <t>Cynradd</t>
  </si>
  <si>
    <t>Democratic representation and management</t>
  </si>
  <si>
    <t>Cynrychiolaeth a rheolaeth ddemocrataidd</t>
  </si>
  <si>
    <t>Please read the notes for guidance before completing this form</t>
  </si>
  <si>
    <t>Darllenwch y canllawiau cyn llenwi'r ffurflen hon</t>
  </si>
  <si>
    <t>Provision for repayment of principal</t>
  </si>
  <si>
    <t>Darpariaeth ar gyfer ad-dalu'r prifswm</t>
  </si>
  <si>
    <t>Bad debt provision</t>
  </si>
  <si>
    <t>Darpariaeth ar gyfer dyled ddrwg</t>
  </si>
  <si>
    <t>Bad debt 'provision'</t>
  </si>
  <si>
    <t>Darpariaeth' ar gyfer dyled ddrwg</t>
  </si>
  <si>
    <t>Under 5 provision not in nursery, primary or special schools</t>
  </si>
  <si>
    <t>Darpariaeth dan 5 oed heb fod mewn ysgol feithrin, ysgol gynradd nac ysgol arbennig</t>
  </si>
  <si>
    <t>Own provision (including joint arrangements)</t>
  </si>
  <si>
    <t>Darpariaeth eu hunain (gan gynnwys trefniadau ar y cyd)</t>
  </si>
  <si>
    <t>Provision by others
(including joint arrangements)</t>
  </si>
  <si>
    <t>Darpariaeth gan eraill (gan gynnwys trefniadau ar y cyd)</t>
  </si>
  <si>
    <t>Economic development</t>
  </si>
  <si>
    <t>Datblygu economaidd</t>
  </si>
  <si>
    <t>Arts development and support</t>
  </si>
  <si>
    <t>Datblygu a chynorthwyo'r celfyddydau</t>
  </si>
  <si>
    <t>Sports development</t>
  </si>
  <si>
    <t>Datblygu chwaraeon</t>
  </si>
  <si>
    <t>Community development</t>
  </si>
  <si>
    <t>Datblygu cymundeol</t>
  </si>
  <si>
    <t>Dealing with the public</t>
  </si>
  <si>
    <t>Delio â'r cyhoedd</t>
  </si>
  <si>
    <t>Receipts of non-domestic rates for earlier years (net of refunds)</t>
  </si>
  <si>
    <t>Derbyniadau ardrethi annomestig ar gyfer blynyddoedd cynharach (heb gynnwys ad-daliadau)</t>
  </si>
  <si>
    <t>Receipts of in-year non-domestic rates (net of refunds)</t>
  </si>
  <si>
    <t xml:space="preserve">Derbyniadau ardrethi annomestig yn ystod y flwyddyn (heb gynnwys ad-daliadau) </t>
  </si>
  <si>
    <t>External interest receipts</t>
  </si>
  <si>
    <t>Derbyniadau llog allanol</t>
  </si>
  <si>
    <t>Homelessness</t>
  </si>
  <si>
    <t>Digartrefedd</t>
  </si>
  <si>
    <t>Inter authority recoupment</t>
  </si>
  <si>
    <t>Digollediad rhwng awdurdodau</t>
  </si>
  <si>
    <t>Inter authority recoupment - special</t>
  </si>
  <si>
    <t>Digollediad rhwng awdurdodau - Ysgolion arbennig</t>
  </si>
  <si>
    <t>Inter authority recoupment - middle</t>
  </si>
  <si>
    <t>Digollediad rhwng awdurdodau - Ysgolion canol</t>
  </si>
  <si>
    <t>Inter authority recoupment - primary</t>
  </si>
  <si>
    <t>Digollediad rhwng awdurdodau - Ysgolion cynradd</t>
  </si>
  <si>
    <t>Inter authority recoupment - nursery</t>
  </si>
  <si>
    <t>Digollediad rhwng awdurdodau - Ysgolion meithrin</t>
  </si>
  <si>
    <t>Inter authority recoupment - secondary</t>
  </si>
  <si>
    <t>Digollediad rhwng awdurdodau - Ysgolion uwchradd</t>
  </si>
  <si>
    <t>Diogelwch cymunedol</t>
  </si>
  <si>
    <t>Diogelwch cymunedol (teledu cylch cyfyng)</t>
  </si>
  <si>
    <t>Community fire safety</t>
  </si>
  <si>
    <t>Food safety</t>
  </si>
  <si>
    <t>Diolgelwch bwyd</t>
  </si>
  <si>
    <t>Council tax discounts</t>
  </si>
  <si>
    <t>Disgowntiau y dreth gyngor</t>
  </si>
  <si>
    <t>Diwydiannol a masnachol</t>
  </si>
  <si>
    <t>CULTURE AND HERITAGE</t>
  </si>
  <si>
    <t>Diwylliant a threftadaeth</t>
  </si>
  <si>
    <t>Dogfennaeth</t>
  </si>
  <si>
    <t>Link to Guidance</t>
  </si>
  <si>
    <t>Dolen at y canllawiau</t>
  </si>
  <si>
    <t>Dylech gynnwys yr amser a dreuliwyd ar weithgarwch i baratoi ac anfon y ffurflen hon yn unig, megis:</t>
  </si>
  <si>
    <t>In-year debit compared to amount originally budgeted to be collected</t>
  </si>
  <si>
    <t xml:space="preserve">Dyled yn ystod y flwyddyn o gymharu â'r swm i'w gasglu yn y gyllideb yn wreiddiol </t>
  </si>
  <si>
    <t>Dyluniad y ffurflen</t>
  </si>
  <si>
    <t>Short breaks (respite) for children looked after</t>
  </si>
  <si>
    <t>Egwyliau byr (seibiant) ar gyfer plant sy'n derbyn gofal</t>
  </si>
  <si>
    <t>Short breaks (respite) for disabled children looked after</t>
  </si>
  <si>
    <t>Egwyliau byr (seibiant) ar gyfer plant anabl sy'n derbyn gofal</t>
  </si>
  <si>
    <t>Other council property</t>
  </si>
  <si>
    <t>Eiddo arall y cyngor</t>
  </si>
  <si>
    <t>Initiative schemes</t>
  </si>
  <si>
    <t>Cynlluniau menter</t>
  </si>
  <si>
    <t>Capital financing element within PFI schemes</t>
  </si>
  <si>
    <t>Elfen cyllido cyfalaf o fewn cynlluniau PFI</t>
  </si>
  <si>
    <t>Other roads</t>
  </si>
  <si>
    <t>Ffyrdd eraill</t>
  </si>
  <si>
    <t>Roads, street lighting and road safety</t>
  </si>
  <si>
    <t>Ffyrdd, goleuadau stryd a diogelwych ffyrdd</t>
  </si>
  <si>
    <t>Enabling</t>
  </si>
  <si>
    <t>Galluogi</t>
  </si>
  <si>
    <t>Street cleansing (not chargeable to highways)</t>
  </si>
  <si>
    <t>Glanhau strydoedd (ddim yn daladwy o dan priffyrdd)</t>
  </si>
  <si>
    <t>Tolerance</t>
  </si>
  <si>
    <t>Goddefiant</t>
  </si>
  <si>
    <t>Home care</t>
  </si>
  <si>
    <t>Gofal cartref</t>
  </si>
  <si>
    <t>Day care</t>
  </si>
  <si>
    <t>Gofal dydd</t>
  </si>
  <si>
    <t>Residential care</t>
  </si>
  <si>
    <t>Gofal preswyl</t>
  </si>
  <si>
    <t>Goleuadau stryd</t>
  </si>
  <si>
    <t>Street lighting (including energy costs)</t>
  </si>
  <si>
    <t>Goleuadau stryd (gan gynnwys costau ynni)</t>
  </si>
  <si>
    <t>Specific and special government grants</t>
  </si>
  <si>
    <t>Grantiau penodol ac arbennig gan y llywodraeth</t>
  </si>
  <si>
    <t>Specific grants (c)</t>
  </si>
  <si>
    <t>Grantiau penodol (c)</t>
  </si>
  <si>
    <t>Gwahaniaeth</t>
  </si>
  <si>
    <t>Commissioning and social work</t>
  </si>
  <si>
    <t>Comisiynu a gwaith cymdeithasol</t>
  </si>
  <si>
    <t>Social work (including LA functions in relation to child protection)</t>
  </si>
  <si>
    <t>Gwaith cymdeithasol (yn cynnwys swyddogaethau ALl mewn cysylltiad ag amddiffyn plant)</t>
  </si>
  <si>
    <t>Planning and economic development:</t>
  </si>
  <si>
    <t>Cynllunio a datblygu economaiddl:</t>
  </si>
  <si>
    <t>Non-school education expenditure</t>
  </si>
  <si>
    <t>Gwariant addysg heblaw ysgolion</t>
  </si>
  <si>
    <t>Schools expenditure (including delegated and non-delegated funding)</t>
  </si>
  <si>
    <t>Gwariant ar ysgolion (yn cynnwys arian wedi'i ddirprwyo ac arian heb ei ddirprwyo)</t>
  </si>
  <si>
    <t>Other expenditure</t>
  </si>
  <si>
    <t>Gwariant arall</t>
  </si>
  <si>
    <t>Other premises expenditure</t>
  </si>
  <si>
    <t>Gwariant arall ar safleoedd</t>
  </si>
  <si>
    <t>Capital expenditure charged to revenue account</t>
  </si>
  <si>
    <t>Gwariant cyfalaf a godwyd o'r cyfrif refeniw</t>
  </si>
  <si>
    <t>Capital expenditure charged to revenue account - special</t>
  </si>
  <si>
    <t>Gwariant cyfalaf a godwyd o'r cyfrif refeniw - Ysgolion arbennig</t>
  </si>
  <si>
    <t>Capital expenditure charged to revenue account - middle</t>
  </si>
  <si>
    <t>Gwariant cyfalaf a godwyd o'r cyfrif refeniw - Ysgolion canol</t>
  </si>
  <si>
    <t>Capital expenditure charged to revenue account - primary</t>
  </si>
  <si>
    <t>Gwariant cyfalaf a godwyd o'r cyfrif refeniw - Ysgolion cynradd</t>
  </si>
  <si>
    <t>Capital expenditure charged to revenue account - nursery</t>
  </si>
  <si>
    <t>Gwariant cyfalaf a godwyd o'r cyfrif refeniw - Ysgolion meithrin</t>
  </si>
  <si>
    <t>Capital expenditure charged to revenue account - secondary</t>
  </si>
  <si>
    <t>Gwariant cyfalaf a godwyd o'r cyfrif refeniw - Ysgolion uwchradd</t>
  </si>
  <si>
    <t>Capital expenditure charged to revenue account (CERA)</t>
  </si>
  <si>
    <t>Gwariant cyfalaf a godwyd o'r cyfrif refeniw (CERA)</t>
  </si>
  <si>
    <t>Net Current Expenditure</t>
  </si>
  <si>
    <t>Gwariant Cyfredol Net</t>
  </si>
  <si>
    <t>Non-current expenditure:</t>
  </si>
  <si>
    <t>Gwariant anghyfredol:</t>
  </si>
  <si>
    <t>Gross Expenditure</t>
  </si>
  <si>
    <t>Gwariant Gros</t>
  </si>
  <si>
    <t>Police operational expenditure:</t>
  </si>
  <si>
    <t>Gwariant gweithredol yr heddlu:</t>
  </si>
  <si>
    <t>Fire operational expenditure:</t>
  </si>
  <si>
    <t>Gwariant gweithredol tân:</t>
  </si>
  <si>
    <t>Operational expenditure:</t>
  </si>
  <si>
    <t>Gwariant gweithredol:</t>
  </si>
  <si>
    <t>HIV/AIDS</t>
  </si>
  <si>
    <t>Other revenue expenditure</t>
  </si>
  <si>
    <t>Gwariant refeniw arall:</t>
  </si>
  <si>
    <t>Gross revenue expenditure</t>
  </si>
  <si>
    <t>Gwariant refeniw gros</t>
  </si>
  <si>
    <t>Net revenue expenditure</t>
  </si>
  <si>
    <t>Gwariant refeniw net</t>
  </si>
  <si>
    <t>Appropriations to(+) / from(-) accumulated absences</t>
  </si>
  <si>
    <t>Dyraniadau i(+) / o(-) absenoldebau cronnus</t>
  </si>
  <si>
    <t>Direct spend (employee costs and running costs)</t>
  </si>
  <si>
    <t>Gwariant uniongyrchol (costau cyflogeion a costau rhedeg)</t>
  </si>
  <si>
    <t>Other direct spend (employee costs and running costs)</t>
  </si>
  <si>
    <t>Gwariant uniongyrchol arall (costau cyflogeion a chostau rhedeg</t>
  </si>
  <si>
    <t>School expenditure - special</t>
  </si>
  <si>
    <t>Gwariant ysgol - Ysgolion arbennig</t>
  </si>
  <si>
    <t>School expenditure - middle</t>
  </si>
  <si>
    <t>Gwariant ysgol - Ysgolion canol</t>
  </si>
  <si>
    <t>School expenditure - primary</t>
  </si>
  <si>
    <t>Gwariant ysgol - Ysgolion cynradd</t>
  </si>
  <si>
    <t>School expenditure - nursery</t>
  </si>
  <si>
    <t>Gwariant ysgol - ysgolion meithrin</t>
  </si>
  <si>
    <t>School expenditure - secondary</t>
  </si>
  <si>
    <t>Gwariant ysgol - Ysgolion uwchradd</t>
  </si>
  <si>
    <t>Gwasanaeth addysg eraill ac addysg barhaus</t>
  </si>
  <si>
    <t>Gwasanaethau llyfrgelloedd</t>
  </si>
  <si>
    <t>Management and support services:</t>
  </si>
  <si>
    <t>Gwasanaethau rheoli a chynnal:</t>
  </si>
  <si>
    <t>Fire service and civil defence</t>
  </si>
  <si>
    <t xml:space="preserve">Gwasanaethau tân ac amddiffyn sifil </t>
  </si>
  <si>
    <t>Winter service</t>
  </si>
  <si>
    <t>Gwasanaeth y gaeaf</t>
  </si>
  <si>
    <t>Agricultural services</t>
  </si>
  <si>
    <t>Gwasanaethau amaethyddiaeth</t>
  </si>
  <si>
    <t>Own agriculture and fisheries services</t>
  </si>
  <si>
    <t>Gwasanaethau amaethyddol a physgodfeydd ei hun</t>
  </si>
  <si>
    <t>Own flood defence and land drainage services</t>
  </si>
  <si>
    <t>Gwasanaethau amddiffyn llifogydd a draeniad tir ei hun</t>
  </si>
  <si>
    <t>Other environmental services:</t>
  </si>
  <si>
    <t>Gwasanaethau amgylcheddol eraill:</t>
  </si>
  <si>
    <t>Local environmental services:</t>
  </si>
  <si>
    <t>Gwasanaethau amgylcheddol lleol:</t>
  </si>
  <si>
    <t>Preventative services</t>
  </si>
  <si>
    <t>Gwasanaethau ataliol</t>
  </si>
  <si>
    <t>Teenage pregnancy services</t>
  </si>
  <si>
    <t>Gwasanaethau beichiogrwydd pobl ifanc yn eu harddegau</t>
  </si>
  <si>
    <t>Substance misuse service</t>
  </si>
  <si>
    <t>Gwasanaethau camddefnyddio sylweddau</t>
  </si>
  <si>
    <t>Other central services</t>
  </si>
  <si>
    <t>Gwasanaethau canolog eraill</t>
  </si>
  <si>
    <t>Other central services to the public</t>
  </si>
  <si>
    <t>Gwasanaethau canolog eraill i'r cyhoedd</t>
  </si>
  <si>
    <t>Coroners' and other courts services</t>
  </si>
  <si>
    <t>Gwasanaethau crwner a llysoedd eraill</t>
  </si>
  <si>
    <t>Universal services for young people</t>
  </si>
  <si>
    <t>Gwasanaethau cyffredinol ar gyfer pobl ifanc</t>
  </si>
  <si>
    <t>Other youth justice services</t>
  </si>
  <si>
    <t>Gwasanaethau cyfiawnder ieuenctid eraill</t>
  </si>
  <si>
    <t>Social services - adults aged under 65</t>
  </si>
  <si>
    <t>Social services - children and families</t>
  </si>
  <si>
    <t>Gwasanaethau cymdeithasol - plant a teuluoedd</t>
  </si>
  <si>
    <t>Social services - older people</t>
  </si>
  <si>
    <t>Gwasanaethau cymdeithasol - pobl hŷn</t>
  </si>
  <si>
    <t>Leaving care support services</t>
  </si>
  <si>
    <t>Gwasanaethau cymorth gadael gofal</t>
  </si>
  <si>
    <t>Other community services</t>
  </si>
  <si>
    <t>Gwasanaethau cymunedol eraill</t>
  </si>
  <si>
    <t>Other support services</t>
  </si>
  <si>
    <t>Gwasanaethau cymorth eraill</t>
  </si>
  <si>
    <t>Cultural and heritage services</t>
  </si>
  <si>
    <t>Gwasanaethau diwylliant a threftadaeth</t>
  </si>
  <si>
    <t>Advocacy services for children looked after</t>
  </si>
  <si>
    <t>Gwasanaethau eiriolaeth ar gyfer plant sy'n derbyn gofal</t>
  </si>
  <si>
    <t>Other children looked after services</t>
  </si>
  <si>
    <t>Gwasanaethau eraill ar gyfer plant sy'n derbyn gofal</t>
  </si>
  <si>
    <t>Other children looked after services.</t>
  </si>
  <si>
    <t>Other family support services</t>
  </si>
  <si>
    <t>Gwasanaethau eraill cymorth i deuluoedd</t>
  </si>
  <si>
    <t>Other adult services</t>
  </si>
  <si>
    <t>Gwasanaethau eraill i oedolion</t>
  </si>
  <si>
    <t>Police services</t>
  </si>
  <si>
    <t>Police central services:</t>
  </si>
  <si>
    <t>Gwasanaethau heddlu canolog:</t>
  </si>
  <si>
    <t>Welfare services</t>
  </si>
  <si>
    <t>Gwasanaethau lles</t>
  </si>
  <si>
    <t>Adoption services</t>
  </si>
  <si>
    <t>Gwasanaethau mabwysiadu</t>
  </si>
  <si>
    <t>Fostering services</t>
  </si>
  <si>
    <t>Gwasanaethau maethu</t>
  </si>
  <si>
    <t>Gwasanaethau masnachu eraill</t>
  </si>
  <si>
    <t>Cemetery, cremation and mortuary services</t>
  </si>
  <si>
    <t xml:space="preserve">Gwasanaethau mynwentydd, amlosgfeydd a chorffdai </t>
  </si>
  <si>
    <t>National parks services</t>
  </si>
  <si>
    <t>Gwasanaethau parciau cenedlaethol</t>
  </si>
  <si>
    <t>Gwasanaethau rheoleiddio (Iechyd yr amgylchedd)</t>
  </si>
  <si>
    <t>Gwasanaethau rheoleiddio (Safonau Masnach)</t>
  </si>
  <si>
    <t>Fire services</t>
  </si>
  <si>
    <t>Gwasanaethau tân</t>
  </si>
  <si>
    <t>Fire-fighting and rescue operations</t>
  </si>
  <si>
    <t>Gwasanaethau ymladd tân a gweithrediadau achub</t>
  </si>
  <si>
    <t>Fire central services:</t>
  </si>
  <si>
    <t>Gwasanaethau tân canolog:</t>
  </si>
  <si>
    <t>Targeted services for young people</t>
  </si>
  <si>
    <t>Gwasanaethau wedi'u targedu ar gyfer pobl ifanc</t>
  </si>
  <si>
    <t xml:space="preserve">Safeguarding children and young people's services </t>
  </si>
  <si>
    <t>Gwasanaethu amddiffyn plant a pobl ifanc</t>
  </si>
  <si>
    <t>Waste</t>
  </si>
  <si>
    <t>Gwastraff</t>
  </si>
  <si>
    <t>Trade waste</t>
  </si>
  <si>
    <t>Gwastraff masnach</t>
  </si>
  <si>
    <t>Surpluses/deficits on internal trading accounts</t>
  </si>
  <si>
    <t>Gwargedau/diffygion ar gyfrifon masnachu mewnol</t>
  </si>
  <si>
    <t>Central administration:</t>
  </si>
  <si>
    <t>Gweinyddiaeth ganolog:</t>
  </si>
  <si>
    <t>Housing benefit administration</t>
  </si>
  <si>
    <t>Gweinyddu budd-dâl tai</t>
  </si>
  <si>
    <t>Central administration and other revenue</t>
  </si>
  <si>
    <t>Gweinyddu canolog a refeniw arall</t>
  </si>
  <si>
    <t>Gweinyddu cyffredinol</t>
  </si>
  <si>
    <t>Art activities and facilities</t>
  </si>
  <si>
    <t>Gweithgareddau a chyfleusterau celfyddydau</t>
  </si>
  <si>
    <t>Specialist operations</t>
  </si>
  <si>
    <t>Gweithrediadau arbenigol</t>
  </si>
  <si>
    <t>Internal drainage board</t>
  </si>
  <si>
    <t xml:space="preserve">Bwrdd Draeniad Mewnol </t>
  </si>
  <si>
    <t>School improvement</t>
  </si>
  <si>
    <t>Gwella ysgolion</t>
  </si>
  <si>
    <t>School improvement - special</t>
  </si>
  <si>
    <t>Gwella ysgolion - Ysgolion arbennig</t>
  </si>
  <si>
    <t>School improvement - middle</t>
  </si>
  <si>
    <t>Gwella ysgolion - Ysgolion canol</t>
  </si>
  <si>
    <t>School improvement - primary</t>
  </si>
  <si>
    <t>Gwella ysgolion - Ysgolion cynradd</t>
  </si>
  <si>
    <t>School improvement - nursery</t>
  </si>
  <si>
    <t>Gwella ysgolion - Ysgolion meithrin</t>
  </si>
  <si>
    <t>School improvement - secondary</t>
  </si>
  <si>
    <t>Gwella ysgolion - Ysgolion uwchradd</t>
  </si>
  <si>
    <t>Gwiriadau dilysu</t>
  </si>
  <si>
    <t>account</t>
  </si>
  <si>
    <t>cyfrif</t>
  </si>
  <si>
    <t>Police</t>
  </si>
  <si>
    <t>Yr heddlu</t>
  </si>
  <si>
    <t>All education</t>
  </si>
  <si>
    <t xml:space="preserve">Popeth - Addysg </t>
  </si>
  <si>
    <t xml:space="preserve">All special education </t>
  </si>
  <si>
    <t xml:space="preserve">Popeth - Addysg arbennig </t>
  </si>
  <si>
    <t>All continuing education</t>
  </si>
  <si>
    <t>Popeth - Addysg barhaus</t>
  </si>
  <si>
    <t>All agriculture and fisheries</t>
  </si>
  <si>
    <t>Popeth - Amaethyddiaeth a physgodfeydd</t>
  </si>
  <si>
    <t>All elderly people</t>
  </si>
  <si>
    <t>Popeth - Pobl oedrannus</t>
  </si>
  <si>
    <t>All council tax benefit, administration and local tax collection</t>
  </si>
  <si>
    <t>Popeth - Budd-dâl y dreth gyngor, gweinyddu a chasglu'r dreth leol</t>
  </si>
  <si>
    <t>All sports and recreation</t>
  </si>
  <si>
    <t xml:space="preserve">Popeth - Chwaraeon a hamdden </t>
  </si>
  <si>
    <t>Total structural maintenance</t>
  </si>
  <si>
    <t>Popeth - Cynnal a chadw adeileddol</t>
  </si>
  <si>
    <t>All planning and economic development</t>
  </si>
  <si>
    <t>Popeth - Cynllunio a datblygu economaidd</t>
  </si>
  <si>
    <t>All non-current expenditure</t>
  </si>
  <si>
    <t>Popeth - Gwariant anghyfredol</t>
  </si>
  <si>
    <t>All operational expenditure</t>
  </si>
  <si>
    <t xml:space="preserve">Popeth - Gwariant gweithredol </t>
  </si>
  <si>
    <t>All fire operational expenditure</t>
  </si>
  <si>
    <t>Popeth - Gwariant gweithredol tân</t>
  </si>
  <si>
    <t>All police expenditure</t>
  </si>
  <si>
    <t>Popeth - Gwariant yr heddlu</t>
  </si>
  <si>
    <t>All other revenue expenditure</t>
  </si>
  <si>
    <t>Popeth - Gwariant refeniw arall</t>
  </si>
  <si>
    <t>All fire expenditure</t>
  </si>
  <si>
    <t xml:space="preserve">Popeth - Gwariant tân </t>
  </si>
  <si>
    <t>All other environmental services</t>
  </si>
  <si>
    <t>Popeth - Gwasanaethau amgylcheddol eraill</t>
  </si>
  <si>
    <t>All local environmental services</t>
  </si>
  <si>
    <t>Popeth - Gwasanaethau amgylcheddol lleol</t>
  </si>
  <si>
    <t>All central administration</t>
  </si>
  <si>
    <t>Popeth - Gweinyddiaeth ganolog</t>
  </si>
  <si>
    <t>All libraries, culture and heritage</t>
  </si>
  <si>
    <t>Popeth - Llyfrgelloedd, diwylliant a threftadaeth</t>
  </si>
  <si>
    <t>All libraries, culture and heritage, sport and recreation</t>
  </si>
  <si>
    <t>Popeth - Llyfrgelloedd, diwylliant a threftadaeth, chwaraeon a hamdden</t>
  </si>
  <si>
    <t>All children and families</t>
  </si>
  <si>
    <t>Popeth - Plant a theuluoedd</t>
  </si>
  <si>
    <t>All highways and roads</t>
  </si>
  <si>
    <t>Popeth - Prffyrdd a ffyrdd</t>
  </si>
  <si>
    <t>All roads and transport</t>
  </si>
  <si>
    <t xml:space="preserve">Popeth - Ffyrdd a thrafnidiaeth </t>
  </si>
  <si>
    <t>All housing</t>
  </si>
  <si>
    <t>Popeth - Tai</t>
  </si>
  <si>
    <t>All council fund housing and housing benefit</t>
  </si>
  <si>
    <t>Popeth - Tai cronfa'r cynghorau a budd-dal tai</t>
  </si>
  <si>
    <t>Total capital charges relating to construction projects</t>
  </si>
  <si>
    <t>Popeth - Taliadau cyfalaf sy'n ymwneud â phrosiectau adeiladu</t>
  </si>
  <si>
    <t>All transport</t>
  </si>
  <si>
    <t>Popeth - Trafnidiaeth</t>
  </si>
  <si>
    <t xml:space="preserve">Total transport </t>
  </si>
  <si>
    <t>Cyfanswm trafnidiaeth</t>
  </si>
  <si>
    <t>All police central services</t>
  </si>
  <si>
    <t>Popeth - Gwasanaethau canolog yr heddlu</t>
  </si>
  <si>
    <t>All law, order and protective services</t>
  </si>
  <si>
    <t>Popeth - Cyfraith, trefn a gwasanaethau diogelu</t>
  </si>
  <si>
    <t>Promoting understanding</t>
  </si>
  <si>
    <t>Hyrwyddo dealltwriaeth</t>
  </si>
  <si>
    <t>to</t>
  </si>
  <si>
    <t>i</t>
  </si>
  <si>
    <t>Environmental health</t>
  </si>
  <si>
    <t>Iechyd amgylcheddol</t>
  </si>
  <si>
    <t>Other services to adults aged under 65 with mental health needs</t>
  </si>
  <si>
    <t>Gwasanaethau eraill i oedolion o dan 65 oed ag anghenion iechyd meddwl</t>
  </si>
  <si>
    <t>Other income (excluding joint arrangements)</t>
  </si>
  <si>
    <t>Incwm arall (ac eithrio trefniadau ar y cyd)</t>
  </si>
  <si>
    <t>Levies income from county and county borough councils (b)</t>
  </si>
  <si>
    <t>Incwm ardollau o gynghorau sir a chynghorau bwrdeistref sirol (b)</t>
  </si>
  <si>
    <t>Income from joint arrangements with non-local authority bodies</t>
  </si>
  <si>
    <t>Incwm o drefniadau ar y cyd â chyrff heblaw awdurdodau lleol</t>
  </si>
  <si>
    <t>Income from joint arrangements with other local authorities</t>
  </si>
  <si>
    <t>Incwm o drefniadau ar y cyd ag awdurdodau lleol eraill</t>
  </si>
  <si>
    <t>Income from sales, fees and charges</t>
  </si>
  <si>
    <t>Incwm o werthiannau, ffioedd a thaliadau</t>
  </si>
  <si>
    <t>School income within LA accounts (excluding school catering income and insurance payouts)</t>
  </si>
  <si>
    <t>Incwm ysgolion mewn cyfrifon ALl (ac eithrio incwm arlwyo ysgolion a thaliadau yswiriant)</t>
  </si>
  <si>
    <t>Other environmental health</t>
  </si>
  <si>
    <t>Iechyd amgylcheddol arall</t>
  </si>
  <si>
    <t>less police grant allocation under principal formula</t>
  </si>
  <si>
    <t xml:space="preserve">wedi tynnu dyraniad grant yr heddlu o dan fformiwla prifswm </t>
  </si>
  <si>
    <t>less council tax benefit grant</t>
  </si>
  <si>
    <t>wedi tynnu grant budd-dâl y dreth gyngor</t>
  </si>
  <si>
    <t>less revenue support grant</t>
  </si>
  <si>
    <t>wedi tynnu grant cynnal refeniw</t>
  </si>
  <si>
    <t>less specific and special grants</t>
  </si>
  <si>
    <t>wedi tynnu grantiau penodol ac arbennig</t>
  </si>
  <si>
    <t>less redistributed non-domestic rates income</t>
  </si>
  <si>
    <t>wedi tynnu incwm ardrethi annomestig wedi'i ailddosbarthu</t>
  </si>
  <si>
    <t>Open spaces</t>
  </si>
  <si>
    <t>Mannau agored</t>
  </si>
  <si>
    <t>Nursing care placements</t>
  </si>
  <si>
    <t>Lleoliadau gofal nyrsio</t>
  </si>
  <si>
    <t>Residential care placements</t>
  </si>
  <si>
    <t>Lleoliadau gofal preswyl</t>
  </si>
  <si>
    <t>Supported and other accommodation</t>
  </si>
  <si>
    <t>Llety â chymorth a llety arall</t>
  </si>
  <si>
    <t>Secure accommodation (justice)</t>
  </si>
  <si>
    <t>Llety diogel (cyfiawnder)</t>
  </si>
  <si>
    <t>Line 4 as a % of budgeted amount: (line 4 / line 7 x 100)</t>
  </si>
  <si>
    <t>Llinell 4 fel % o'r swm yn y gyllideb: (llinell 4 / llinell 7 x 100)</t>
  </si>
  <si>
    <t>External interest</t>
  </si>
  <si>
    <t>Llog allanol</t>
  </si>
  <si>
    <t>External interest on provision for credit liabilities</t>
  </si>
  <si>
    <t xml:space="preserve">Llog allanol ar ddarpariath ar gyfer atebolrwydd credyd  </t>
  </si>
  <si>
    <t>Libraries, culture and heritage:</t>
  </si>
  <si>
    <t>Llyfrgelloedd, diwylliant a threftadaeth:</t>
  </si>
  <si>
    <t xml:space="preserve">Libraries, culture and heritage, sport and recreation: </t>
  </si>
  <si>
    <t>Llyfrgelloedd, diwylliant, threftadaeth, chwaraeon a hamdden:</t>
  </si>
  <si>
    <t>Llysoedd y crwneriaid</t>
  </si>
  <si>
    <t>Mae croeso i chi ychwanegu unrhyw sylwadau</t>
  </si>
  <si>
    <t xml:space="preserve">Mae Llywodraeth Cymru yn monitro'r baich o lenwi'r ffurflen casglu data hon. </t>
  </si>
  <si>
    <t>Editable area</t>
  </si>
  <si>
    <t>Maes y gellir ei olygu</t>
  </si>
  <si>
    <t>Nursery (d)</t>
  </si>
  <si>
    <t>Meithrinfa (d)</t>
  </si>
  <si>
    <t>Environmental initiatives</t>
  </si>
  <si>
    <t>Mentrau amgylcheddol</t>
  </si>
  <si>
    <t>Meysydd awyr</t>
  </si>
  <si>
    <t>Airports, harbours and toll facilities</t>
  </si>
  <si>
    <t>Meysydd awyr, harbwrs a chyfleusterau toll</t>
  </si>
  <si>
    <t>Airports, harbours and tolled facilities</t>
  </si>
  <si>
    <t>Access to education</t>
  </si>
  <si>
    <t>Mynediad at addysg</t>
  </si>
  <si>
    <t>Access to education (excluding transport) - special</t>
  </si>
  <si>
    <t>Mynediad at addysg (heb gynnwys trafnidiaeth) - Ysgolion arbennig</t>
  </si>
  <si>
    <t>Access to education (excluding transport) - middle</t>
  </si>
  <si>
    <t>Mynediad at addysg (heb gynnwys trafnidiaeth) - Ysgolion canol</t>
  </si>
  <si>
    <t>Access to education (excluding transport) - primary</t>
  </si>
  <si>
    <t>Mynediad at addysg (heb gynnwys trafnidiaeth) - Ysgolion cynradd</t>
  </si>
  <si>
    <t>Access to education (excluding transport) - nursery</t>
  </si>
  <si>
    <t>Mynediad at addysg (heb gynnwys trafnidiaeth) - ysgolion meithrin</t>
  </si>
  <si>
    <t>Access to education (excluding transport) - secondary</t>
  </si>
  <si>
    <t>Mynediad at addysg (heb gynnwystrafnidiaeth) - Ysgolion uwchradd</t>
  </si>
  <si>
    <t>Access to Education (excluding transport) - non-school</t>
  </si>
  <si>
    <t>Mynediad at addysg (heb gynnwys trafnidiaeth - heblaw ysgol</t>
  </si>
  <si>
    <t>Cemeteries and crematoria</t>
  </si>
  <si>
    <t>Mynwentydd ac amlosgfeydd</t>
  </si>
  <si>
    <t>Appropriations to (+) / from (-) financial reserves</t>
  </si>
  <si>
    <t>Dyraniadau i (+)/ o (-) gronfeydd wrth gefn</t>
  </si>
  <si>
    <t>Appropriations to (+) / from (-) financial reserves (d)</t>
  </si>
  <si>
    <t>Dyraniadau i (+)/ o (-) gronfeydd wrth gefn (d)</t>
  </si>
  <si>
    <t>All amounts are to be net of council tax benefits (see notes)</t>
  </si>
  <si>
    <t>Dylai'r holl symiau fod yn rhai nad ydynt yn cynnwys budd-daliadau'r dreth gyngor (gweler y nodiadau)</t>
  </si>
  <si>
    <t>Nifer yr oriau</t>
  </si>
  <si>
    <t xml:space="preserve">Nodwch yr amser a gymerwyd gennych chi (ac unrhyw gydweithwyr) i baratoi ac anfon y ffurflen. </t>
  </si>
  <si>
    <t>Arrears brought forward</t>
  </si>
  <si>
    <t>Ôl-ddyledion a gafodd eu dwyn ymlaen</t>
  </si>
  <si>
    <t>Council tax arrears</t>
  </si>
  <si>
    <t>Ôl-ddyledion y dreth gyngor</t>
  </si>
  <si>
    <t>ARREARS OF COUNCIL TAX</t>
  </si>
  <si>
    <t>ÔL-DDYLEDION Y DRETH GYNGOR</t>
  </si>
  <si>
    <t>Parciau a mannau agored</t>
  </si>
  <si>
    <t>Parking</t>
  </si>
  <si>
    <t>Parcio</t>
  </si>
  <si>
    <t>Parking of vehicles</t>
  </si>
  <si>
    <t>Parcio cerbydau</t>
  </si>
  <si>
    <t>Local Flood Defence Committees</t>
  </si>
  <si>
    <t>Pwyllgorau Amddiffyn rhag Llifogydd</t>
  </si>
  <si>
    <t>Children and families:</t>
  </si>
  <si>
    <t>Plant a theuluoedd:</t>
  </si>
  <si>
    <t>Unaccompanied children</t>
  </si>
  <si>
    <t>Plant ar eu pen eu hunain</t>
  </si>
  <si>
    <t>Children placed with family and friends</t>
  </si>
  <si>
    <t>Plant wedi'u lleoli gyda theulu a ffrindiau</t>
  </si>
  <si>
    <t>Asylum seeking children looked after</t>
  </si>
  <si>
    <t>Plant sy'n ceisio lloches ac sy'n derbyn gofal</t>
  </si>
  <si>
    <t>National policing</t>
  </si>
  <si>
    <t>Plismona cenedlaethol</t>
  </si>
  <si>
    <t>Local policing</t>
  </si>
  <si>
    <t>Plismona lleol</t>
  </si>
  <si>
    <t>Road policing</t>
  </si>
  <si>
    <t>Plismona'r ffyrdd</t>
  </si>
  <si>
    <t>plus discretionary non-domestic rate relief</t>
  </si>
  <si>
    <t>plws rhyddhad ardreth annomestig dewisiol</t>
  </si>
  <si>
    <t>All management and support services</t>
  </si>
  <si>
    <t>Pob gwasanaeth rheoli a chynnal</t>
  </si>
  <si>
    <t>All fire central services</t>
  </si>
  <si>
    <t xml:space="preserve">Pob gwasanaeth tân canolog </t>
  </si>
  <si>
    <t>All services</t>
  </si>
  <si>
    <t>Pob gwasanaeth</t>
  </si>
  <si>
    <t>All schools</t>
  </si>
  <si>
    <t>Pob ysgol</t>
  </si>
  <si>
    <t>Other services to older people</t>
  </si>
  <si>
    <t>Gwasanaethau eraill i bobl hŷn</t>
  </si>
  <si>
    <t>Elderly people:</t>
  </si>
  <si>
    <t>Pobl oedrannus:</t>
  </si>
  <si>
    <t>Planning policy</t>
  </si>
  <si>
    <t>Polisi cynllunio</t>
  </si>
  <si>
    <t>Bridges and culverts</t>
  </si>
  <si>
    <t>Pontydd a chwlfertau</t>
  </si>
  <si>
    <t xml:space="preserve">Tolled road bridges, tunnels and ferries, public </t>
  </si>
  <si>
    <t>Pontydd ffyrdd â tholl, twnneli a fferïau</t>
  </si>
  <si>
    <t>Local authorities ports and piers</t>
  </si>
  <si>
    <t>Porthladdoedd a phierau yr awdurdodau lleol</t>
  </si>
  <si>
    <t>Porthladdoedd a phierau yr awdurdod lleol</t>
  </si>
  <si>
    <t>Premia and discounts on debt rescheduling</t>
  </si>
  <si>
    <t>Premiymau a disgowntiau ar aildrefnu dyled</t>
  </si>
  <si>
    <t>Community council precepts</t>
  </si>
  <si>
    <t>Praeseptiau cyngor cymunedol</t>
  </si>
  <si>
    <t>Principal roads</t>
  </si>
  <si>
    <t>Prif ffyrdd</t>
  </si>
  <si>
    <t>Highways and roads</t>
  </si>
  <si>
    <t>Priffyrdd a ffyrdd</t>
  </si>
  <si>
    <t>Highways and roads:</t>
  </si>
  <si>
    <t>Priffyrdd a ffyrdd:</t>
  </si>
  <si>
    <t>Child death review process</t>
  </si>
  <si>
    <t xml:space="preserve">Proses adolygu marwolaeth plentyn </t>
  </si>
  <si>
    <t>Meals</t>
  </si>
  <si>
    <t>Prydau</t>
  </si>
  <si>
    <t>Development control</t>
  </si>
  <si>
    <t>Rheoli datblygiad</t>
  </si>
  <si>
    <t>Corporate management</t>
  </si>
  <si>
    <t>Rheoli corfforaethol</t>
  </si>
  <si>
    <t>Recreation management and transport</t>
  </si>
  <si>
    <t>Rheoli hamdden a thrafnidiaeth</t>
  </si>
  <si>
    <t>Management and administration</t>
  </si>
  <si>
    <t>Rheoli a gweinyddu</t>
  </si>
  <si>
    <t>Strategic management</t>
  </si>
  <si>
    <t>Rheoli strategol</t>
  </si>
  <si>
    <t>Strategic management of non-school services</t>
  </si>
  <si>
    <t>Rheoli strategol - heblaw gwasanaethau ysgolion</t>
  </si>
  <si>
    <t>Strategic management - special</t>
  </si>
  <si>
    <t>Rheoli strategol - Ysgolion arbennig</t>
  </si>
  <si>
    <t>Strategic management - middle</t>
  </si>
  <si>
    <t>Rheoli strategol - Ysgolion canol</t>
  </si>
  <si>
    <t>Strategic management - primary</t>
  </si>
  <si>
    <t>Rheoli strategol - Ysgolion cynradd</t>
  </si>
  <si>
    <t>Strategic management - nursery</t>
  </si>
  <si>
    <t>Rheoli strategol - Ysgolion meithrin</t>
  </si>
  <si>
    <t>Strategic management - secondary</t>
  </si>
  <si>
    <t>Rheoli strategol - Ysgolion uwchradd</t>
  </si>
  <si>
    <t>Traffic management</t>
  </si>
  <si>
    <t>Rheoli traffig</t>
  </si>
  <si>
    <t>Traffic management and road safety (e)</t>
  </si>
  <si>
    <t>Rheoli traffig a diogelwch ar y ffyrdd (e)</t>
  </si>
  <si>
    <t>Building control</t>
  </si>
  <si>
    <t>Rheoli adeiladu</t>
  </si>
  <si>
    <t>row 2 &gt;= row 7</t>
  </si>
  <si>
    <t>rhes 2 &gt;= rhes 7</t>
  </si>
  <si>
    <t>Please Comment</t>
  </si>
  <si>
    <t>Rhowch sylw</t>
  </si>
  <si>
    <t>Rhowch sylw isod os oes angen</t>
  </si>
  <si>
    <t>Residual pension liabilities: further education</t>
  </si>
  <si>
    <t>Rhwymedigaethau pensiwn gweddilliol: addysg bellach</t>
  </si>
  <si>
    <t>Residual pension liabilities: other non-school services</t>
  </si>
  <si>
    <t>Rhwymedigaethau pensiwn gweddilliol: gwasanaethau eraill heb fod mewn ysgolion</t>
  </si>
  <si>
    <t xml:space="preserve">Rydym bob amser yn ceisio gwella'r ffurflen i'w gwneud yn haws i'w llenwi, gan barhau i sicrhau cywirdeb data a chysondeb ar gyfer yr holl awdurdodau. Os oes gennych unrhyw sylwadau neu awgrymiadau a allai fod yn ddefnyddiol, nodwch nhw isod: </t>
  </si>
  <si>
    <t>Trading standards</t>
  </si>
  <si>
    <t>Safonau masnach</t>
  </si>
  <si>
    <t>Staff</t>
  </si>
  <si>
    <t>Staff - special</t>
  </si>
  <si>
    <t>Staff - Ysgolion arbennig</t>
  </si>
  <si>
    <t>Staff - middle</t>
  </si>
  <si>
    <t>Staff - Ysgolion canol</t>
  </si>
  <si>
    <t>Staff - primary</t>
  </si>
  <si>
    <t>Staff - Ysgolion cynradd</t>
  </si>
  <si>
    <t>Staff - nursery</t>
  </si>
  <si>
    <t>Staff - Ysgolion meithrin</t>
  </si>
  <si>
    <t>Staff - secondary</t>
  </si>
  <si>
    <t>Staff - Ysgolion uwchradd</t>
  </si>
  <si>
    <t>Teaching staff</t>
  </si>
  <si>
    <t>Staff addysgu</t>
  </si>
  <si>
    <t>Support staff</t>
  </si>
  <si>
    <t>Staff cymorth</t>
  </si>
  <si>
    <t>Service strategy and regulation</t>
  </si>
  <si>
    <t>Strategaeth a gwaith rheoli gwasanaethau</t>
  </si>
  <si>
    <t>Service strategy - adult services</t>
  </si>
  <si>
    <t>Strategaeth gwasanaeth - gwasanaethau oedolion</t>
  </si>
  <si>
    <t>Amount to be raised from council tax payers</t>
  </si>
  <si>
    <t>Swm i'w godi gan dalwyr treth cyngor</t>
  </si>
  <si>
    <t>Central commissioning function</t>
  </si>
  <si>
    <t>Swyddogaeth comisiynu canolog</t>
  </si>
  <si>
    <t>LA functions in relation to child protection</t>
  </si>
  <si>
    <t>Swyddogaethau awdurdodau lleol sy'n gysylltiedig ag amddiffyn plant</t>
  </si>
  <si>
    <t>Sylwadau cyffredinol</t>
  </si>
  <si>
    <t>Council fund housing and housing benefit:</t>
  </si>
  <si>
    <t>Tai cronfa'r cynghorau a budd-dal tai:</t>
  </si>
  <si>
    <t>Council fund housing</t>
  </si>
  <si>
    <t>Tai cronfa'r cyngor</t>
  </si>
  <si>
    <t>Tai cronfa'r cyngor arall</t>
  </si>
  <si>
    <t>Housing:</t>
  </si>
  <si>
    <t>Tai:</t>
  </si>
  <si>
    <t>External interest receipts on HRA balances</t>
  </si>
  <si>
    <t>Derbyniadau llog allanol ar falansau HRA</t>
  </si>
  <si>
    <t>Housing benefit payments</t>
  </si>
  <si>
    <t>Taliadau budd-dâl tai</t>
  </si>
  <si>
    <t>Capital charges relating to construction projects:</t>
  </si>
  <si>
    <t>Taliadau cyfalaf yn ymwneud â phrosiectau adeiladu:</t>
  </si>
  <si>
    <t>Capital charges relating to construction projects (other roads)</t>
  </si>
  <si>
    <t>Taliadau cyfalaf yn ymwneud â phrosiectau adeiladu (ffyrdd eraill)</t>
  </si>
  <si>
    <t xml:space="preserve">Capital charges relating to construction projects  </t>
  </si>
  <si>
    <t xml:space="preserve">Taliadau cyfalaf yn ymwneud â phrosiectau adeiladu </t>
  </si>
  <si>
    <t>Capital charges relating to construction projects (bridges and culverts)</t>
  </si>
  <si>
    <t>Taliadau cyfalaf yn ymwneud â phrosiectau adeiladu (pontydd a chwlfertau)</t>
  </si>
  <si>
    <t>Capital charges relating to construction projects (principal roads)</t>
  </si>
  <si>
    <t>Taliadau cyfalaf yn ymwneud â phrosiectau adeiladu (prif ffyrdd)</t>
  </si>
  <si>
    <t>Payments to/from fire authorities</t>
  </si>
  <si>
    <t>Taliadau i/o awdurdodau tân</t>
  </si>
  <si>
    <t>External interest payments</t>
  </si>
  <si>
    <t>Taliadau llog allanol</t>
  </si>
  <si>
    <t>Leasing payment</t>
  </si>
  <si>
    <t>Taliadau prydlesu</t>
  </si>
  <si>
    <t>Leasing payments</t>
  </si>
  <si>
    <t>Direct payments</t>
  </si>
  <si>
    <t>Taliadau uniongyrchol</t>
  </si>
  <si>
    <t>HRA 'item 8' interest payments/receipts</t>
  </si>
  <si>
    <t>Theatres and public entertainment</t>
  </si>
  <si>
    <t>Theatrau ac adloniant cyhoeddus</t>
  </si>
  <si>
    <t>Heritage</t>
  </si>
  <si>
    <t>Threftadaeth</t>
  </si>
  <si>
    <t>Youth offender teams</t>
  </si>
  <si>
    <t>Timau troseddwyr ifanc</t>
  </si>
  <si>
    <t>Derelict land reclamation</t>
  </si>
  <si>
    <t xml:space="preserve">Adfer tir diffaith </t>
  </si>
  <si>
    <t>Concessionary fares</t>
  </si>
  <si>
    <t>Tocynnau teithio rhatach</t>
  </si>
  <si>
    <t>Draenio tir ac atal llifogydd</t>
  </si>
  <si>
    <t>Transport planning, policy and strategy</t>
  </si>
  <si>
    <t>Cynllunio, polisi a strategaeth trafnidiaeth</t>
  </si>
  <si>
    <t>Public passenger transport (bus)</t>
  </si>
  <si>
    <t>Trafnidiaeth teithwyr cyhoeddus (bysiau)</t>
  </si>
  <si>
    <t>Public passenger transport (rail)</t>
  </si>
  <si>
    <t>Trafnidiaeth teithwyr cyhoeddus (rheilffyrdd)</t>
  </si>
  <si>
    <t>Transport:</t>
  </si>
  <si>
    <t>Trafnidiaeth:</t>
  </si>
  <si>
    <t>Criminal justice arrangements</t>
  </si>
  <si>
    <t>Trefniadau cyfiawnder troseddol</t>
  </si>
  <si>
    <t>Indirect employee expenses</t>
  </si>
  <si>
    <t>Treuliau anuniongyrchol gweithwyr cyflogedig</t>
  </si>
  <si>
    <t xml:space="preserve">Appropriations to(+) / from(-) financial instruments </t>
  </si>
  <si>
    <t>Dyraniadau i (+) / o (-) gyfrif offerynnau ariannol</t>
  </si>
  <si>
    <t xml:space="preserve">Appropriations to(+) / from(-) unequal pay back </t>
  </si>
  <si>
    <t>Dyraniadau i (+) / o (-) gyfrif ôl-dalu tâl anghyfartal</t>
  </si>
  <si>
    <t>Appropriations to(+) / from(-) unallocated financial</t>
  </si>
  <si>
    <t>Dyraniadau i(+) / o(-) gronfeydd arian heb eu clustnodi</t>
  </si>
  <si>
    <t>Appropriations to(+) / from(-) earmarked financial</t>
  </si>
  <si>
    <t>Dyraniadau i(+) / o(-) gronfeydd arian wedi'u clustnodi</t>
  </si>
  <si>
    <t>Licensing of private sector landlords</t>
  </si>
  <si>
    <t>Trwyddedu landlordiaid y sector preifat</t>
  </si>
  <si>
    <t>Tourism</t>
  </si>
  <si>
    <t>Twristiaeth</t>
  </si>
  <si>
    <t>Secure accommodation (welfare)</t>
  </si>
  <si>
    <t>Llety diogel (lles)</t>
  </si>
  <si>
    <t>Secondary</t>
  </si>
  <si>
    <t>Uwchradd</t>
  </si>
  <si>
    <t>Y Baich o Ymateb i'r Arolwg</t>
  </si>
  <si>
    <t>In-year council tax</t>
  </si>
  <si>
    <t>Y dreth gyngor yn ystod y flwyddyn</t>
  </si>
  <si>
    <t>Budget requirement (lines 90 to 93)</t>
  </si>
  <si>
    <t>Gofyniad cyllidebol (llinell 90 i 93)</t>
  </si>
  <si>
    <t>Library service</t>
  </si>
  <si>
    <t>Y gwasanaeth llyfrgelloedd</t>
  </si>
  <si>
    <t>Law, order and protective services:</t>
  </si>
  <si>
    <t>Y gyfraith, trefn a gwasanaethau diogelu:</t>
  </si>
  <si>
    <t>Housing Strategy</t>
  </si>
  <si>
    <t>Y strategaeth dai</t>
  </si>
  <si>
    <t>Amount received as a % of amount due with BR1 equivalent</t>
  </si>
  <si>
    <t>Y swm a gafwyd fel % o'r swm sy'n ddyledus gyfwerth â BR1</t>
  </si>
  <si>
    <t>Amount received as a % of amount due, 2014-15 and 2015-16</t>
  </si>
  <si>
    <t>Y swm a gafwyd fel % o'r swm sy'n ddyledus, 2014-15 a 2015-16</t>
  </si>
  <si>
    <t>Amount received as a percentage of amount due</t>
  </si>
  <si>
    <t>Y swm a gafwyd fel canran o'r swm sy'n ddyledus</t>
  </si>
  <si>
    <t>Amount received compared to amount originally budgeted to be collected</t>
  </si>
  <si>
    <t>Y swm a gafwyd o gymharu â'r swm i'w gasglu o'r gyllideb wreiddiol</t>
  </si>
  <si>
    <t>Amount originally budgeted to be collected for the year when the council tax was set</t>
  </si>
  <si>
    <t xml:space="preserve">Y swm yn y gyllideb yn wreiddiol i'w gasglu ar gyfer y flwyddyn pan osodwyd y dreth gyngor </t>
  </si>
  <si>
    <t>Economic research</t>
  </si>
  <si>
    <t>Ymchwil economaidd</t>
  </si>
  <si>
    <t>Specialist investigation</t>
  </si>
  <si>
    <t>Ymchwilio arbenigol</t>
  </si>
  <si>
    <t>Special schools</t>
  </si>
  <si>
    <t>Ysgolion arbennig</t>
  </si>
  <si>
    <t>Middle schools</t>
  </si>
  <si>
    <t>Ysgolion canol</t>
  </si>
  <si>
    <t>Primary schools</t>
  </si>
  <si>
    <t>Ysgolion cynradd</t>
  </si>
  <si>
    <t>Nursery schools</t>
  </si>
  <si>
    <t>Ysgolion meithrin</t>
  </si>
  <si>
    <t>Secondary schools</t>
  </si>
  <si>
    <t>Ysgolion uwchradd</t>
  </si>
  <si>
    <t>Schools:</t>
  </si>
  <si>
    <t>Ysgolion:</t>
  </si>
  <si>
    <t>Street sweeping and cleaning</t>
  </si>
  <si>
    <t>Ysgubo a glanhau strydoedd</t>
  </si>
  <si>
    <t>Line 30.1 + line 30.2</t>
  </si>
  <si>
    <t>Llinell 30.1 + Llinell 30.2</t>
  </si>
  <si>
    <t>Line 35</t>
  </si>
  <si>
    <t>Llinell 35</t>
  </si>
  <si>
    <t>Line 33</t>
  </si>
  <si>
    <t>Llinell 33</t>
  </si>
  <si>
    <t>Line 38</t>
  </si>
  <si>
    <t>Llinell 38</t>
  </si>
  <si>
    <t>Line 39</t>
  </si>
  <si>
    <t>Llinell 39</t>
  </si>
  <si>
    <t>Line 38 + line 39</t>
  </si>
  <si>
    <t>Llinell 38 + Llinell 39</t>
  </si>
  <si>
    <t>Line 40</t>
  </si>
  <si>
    <t>Llinell 40</t>
  </si>
  <si>
    <t>Line 43</t>
  </si>
  <si>
    <t>Llinell 43</t>
  </si>
  <si>
    <t>Line 41</t>
  </si>
  <si>
    <t>Llinell 41</t>
  </si>
  <si>
    <t>Line 42</t>
  </si>
  <si>
    <t>Llinell 42</t>
  </si>
  <si>
    <t>Line 44</t>
  </si>
  <si>
    <t>Llinell 44</t>
  </si>
  <si>
    <t>Line 45</t>
  </si>
  <si>
    <t>Llinell 45</t>
  </si>
  <si>
    <t>Line 47</t>
  </si>
  <si>
    <t>Llinell 47</t>
  </si>
  <si>
    <t>Line 46</t>
  </si>
  <si>
    <t>Llinell 46</t>
  </si>
  <si>
    <t>Line 41 + line 42</t>
  </si>
  <si>
    <t>Llinell 41 + Llinell 42</t>
  </si>
  <si>
    <t>Line 37</t>
  </si>
  <si>
    <t>Llinell 37</t>
  </si>
  <si>
    <t>Line 48</t>
  </si>
  <si>
    <t>Llinell 48</t>
  </si>
  <si>
    <t>Line 49</t>
  </si>
  <si>
    <t>Llinell 49</t>
  </si>
  <si>
    <t>OK</t>
  </si>
  <si>
    <t>iawn</t>
  </si>
  <si>
    <t>Environmental and Regulatory Services</t>
  </si>
  <si>
    <t>gwasanaethau amgylcheddol a rheoleiddiol</t>
  </si>
  <si>
    <t>Fire and rescue services</t>
  </si>
  <si>
    <t xml:space="preserve">Gwasanaethau tan ac schub </t>
  </si>
  <si>
    <t>Record as negative</t>
  </si>
  <si>
    <t>Cofnodwch yn negyddol</t>
  </si>
  <si>
    <t>Costau gweithwyr</t>
  </si>
  <si>
    <t>Planning, development and court services</t>
  </si>
  <si>
    <t>Cynllunio, datblygu a gwasanaethau llys</t>
  </si>
  <si>
    <t>Council fund housing services</t>
  </si>
  <si>
    <t>Gwasanaethau tai cronfa'r cyngor</t>
  </si>
  <si>
    <t>Revenue expenditure summary</t>
  </si>
  <si>
    <t>Crynodeb gwariant refeniw</t>
  </si>
  <si>
    <t>Provision for repayment of principal (before application of the commutation adjustment)</t>
  </si>
  <si>
    <t>Darpariaeth ar gyfer ad-daliad y prifswm (cyn gosod yr addasiad cyfnewid)</t>
  </si>
  <si>
    <t>Commutation adjustment (enter as a negative any adjustment which reduces MRP and vice versa)</t>
  </si>
  <si>
    <t>Addasiad cyfnewid (nodwch rhif negyddol ar gyfer unrhyw addasiad sy'n gostwng yr MRP ac i'r gwrthwyneb)</t>
  </si>
  <si>
    <t>Specific &amp; special govt grants</t>
  </si>
  <si>
    <t>Grantiau penodol ac arbennig y llywodraeth</t>
  </si>
  <si>
    <t>(£K 3 decimals)</t>
  </si>
  <si>
    <t>(£K i 3 lle degol)</t>
  </si>
  <si>
    <t>For information</t>
  </si>
  <si>
    <t>Er gwybodaeth</t>
  </si>
  <si>
    <t>Unitary authorities only</t>
  </si>
  <si>
    <t>Awdurdodau unedol yn unig</t>
  </si>
  <si>
    <t>Unitary and Fire authorities only</t>
  </si>
  <si>
    <t>Awdurdodau unedol a thân yn unig</t>
  </si>
  <si>
    <t>Unitary and National Park authorities only</t>
  </si>
  <si>
    <t>Awdurdodau unedol a Pharc Cenedlaethol yn unig</t>
  </si>
  <si>
    <t>OPCCs only</t>
  </si>
  <si>
    <t xml:space="preserve">Swyddfeydd Comisiynydd Heddlu a Throsedd yn unig </t>
  </si>
  <si>
    <t>Unitary authorities and OPCCs only</t>
  </si>
  <si>
    <t>Awdurdodau unedol  a Swyddfeydd Comisiynydd Heddlu a Throsedd yn unig</t>
  </si>
  <si>
    <t>select your authority</t>
  </si>
  <si>
    <t>Revenue Grants</t>
  </si>
  <si>
    <t>Grantiau Refeniw</t>
  </si>
  <si>
    <t>Please note "other" lines - 198, 298 etc. are now automatically populated from the specification list at the bottom of the page.</t>
  </si>
  <si>
    <t>Nodwch llinellau "eraill" -198, 298 ayb maent bellach yn cael eu poblogi yn awtomatig o'r rhestr ar waelod y dudalen.</t>
  </si>
  <si>
    <t>RG row</t>
  </si>
  <si>
    <t xml:space="preserve">Rhes RG </t>
  </si>
  <si>
    <t>Details of grants</t>
  </si>
  <si>
    <t>Manylion y grantiau</t>
  </si>
  <si>
    <t>Revenue grants</t>
  </si>
  <si>
    <t>Grantiau refeniw</t>
  </si>
  <si>
    <t>Capital financing grants and capital element of PFI</t>
  </si>
  <si>
    <t>Grantiau ariannu cyfalaf ac elfen gyfalaf y fenter cyllid preifat</t>
  </si>
  <si>
    <t>Current grants</t>
  </si>
  <si>
    <t>Grantiau cyfredol</t>
  </si>
  <si>
    <t>Included in</t>
  </si>
  <si>
    <t>Wedi’i cynnwys yn</t>
  </si>
  <si>
    <t>5 x 60</t>
  </si>
  <si>
    <t>Cymunedau’n Gyntaf (Addysg)</t>
  </si>
  <si>
    <t>Grant Gwella addysg ar gyfer ysgolion</t>
  </si>
  <si>
    <t>Cymunedau’n Gyntaf (gwasanaethau cymdeithasol)</t>
  </si>
  <si>
    <t>Grant Gwasanaethau Cam-drin Domestig  - Cydlynwyr cam-drin domestig a chynghorwyr annibynnol ar drais domestig</t>
  </si>
  <si>
    <t xml:space="preserve">Cronfa Atal Troseddu Ieuenctid </t>
  </si>
  <si>
    <t>Cyflwyno Trawsnewid</t>
  </si>
  <si>
    <t xml:space="preserve">Gofal plant tu allan i'r ysgol </t>
  </si>
  <si>
    <t>Ad-daliadau rhent a roddwyd i denantiaid cyfrif refeniw tai</t>
  </si>
  <si>
    <t>Eraill o'r Swyddfa Gartref, yr Adran Materion Cyfansoddiadol a Gweinyddiaeth Llysoedd Unedig (nodwch ar dudalen olaf)</t>
  </si>
  <si>
    <t>Cyfanswm y Swyddfa Gartref, yr Adran Materion Cyfansoddiadol a Gweinyddiaeth Llysoedd Unedig</t>
  </si>
  <si>
    <t>Llifogydd ac erydu arfordirol</t>
  </si>
  <si>
    <t>Land Reclamation S16</t>
  </si>
  <si>
    <t>Adennill tir S16</t>
  </si>
  <si>
    <t>Town Centre Partnerships</t>
  </si>
  <si>
    <t>Partneriaethau Canol Tref</t>
  </si>
  <si>
    <t>Grant cymorth strategaeth gwaith ieuenctid</t>
  </si>
  <si>
    <t>CT1</t>
  </si>
  <si>
    <t>COUNCIL TAX DWELLINGS RETURN FOR</t>
  </si>
  <si>
    <t>FFURFLEN ANHEDDAU'R DRETH GYNGOR AR GYFER</t>
  </si>
  <si>
    <t>Please select your authority and if necessary, amend any incorrect details</t>
  </si>
  <si>
    <t>Dewiswch eich awdurdod a cywirwch eich cyfeiriad os oes angen</t>
  </si>
  <si>
    <t>please amend any incorrect contact details below:</t>
  </si>
  <si>
    <t>Os oes ange,cywirwch enw a rhif ffôn ein cyswllt mewn achos ymholiadau:-</t>
  </si>
  <si>
    <t>E-bost (nodwch N/A os nad oes ar gael):</t>
  </si>
  <si>
    <t>Ffôn: Côd STD:</t>
  </si>
  <si>
    <t>Authorities are required to calculate the council tax base for 2017-18 with reference to dwellings shown on the valuation list for the authority as at 31 October 2016 supplied to the authority under section 22B(7) of the Local Government Finance Act 1992.</t>
  </si>
  <si>
    <t xml:space="preserve">Mae angen i awdurdodau gyfrifo'r sylfaen dreth gyngor ar gyfer 2017-18 drwy gyfeirio at yr anheddau a ddangosir ar restr brisio'r awdurdod ar gyfer 31 Hydref 2016 a gyflenwyd i'r awdurdod o dan adran 22B(7) o Ddeddf Cyllid Llywodraeth Leol 1992. </t>
  </si>
  <si>
    <t xml:space="preserve">The figures should also take account of changes to the valuation list that appear likely to occur during 2017-18. </t>
  </si>
  <si>
    <t xml:space="preserve">Dylai'r ffigurau hefyd gymryd i ystyriaeth newidiadau i'r rhestr brisio sy'n debygol o ddigwydd yn ystod 2017-18. </t>
  </si>
  <si>
    <t>The information requested on this return must be submitted to the Welsh Government under section 68 of the Local Government Finance Act 1992.</t>
  </si>
  <si>
    <t xml:space="preserve">Mae'n rhaid cyflwyno'r wybodaeth y gofynnir amdani ar y ffurflen hon i Cynulliad Llywodraeth Cymru o dan adran 68 o Ddeddf Cyllid Llywodraeth Leol 1992. </t>
  </si>
  <si>
    <t>Forms should be returned to the address below, according to the following timetable:</t>
  </si>
  <si>
    <t>Dylir ddychwelyd ffurflenni i'r cyfeiriad isod, yn ôl yr amserlen canlynol</t>
  </si>
  <si>
    <t xml:space="preserve">certified signed copy and spreadsheet                     </t>
  </si>
  <si>
    <t xml:space="preserve">llofnodi copi ardystiedig a taenlen                 </t>
  </si>
  <si>
    <t>Local Government Financial Statistics Unit</t>
  </si>
  <si>
    <t>CP2</t>
  </si>
  <si>
    <t>Queries on completion of the form or spreadsheet should be sent to:</t>
  </si>
  <si>
    <t>Dylid cyfeirio ymholiadau ynghylch cwblhau'r daenlen drwy ffôn neu e-bost,  fel a  ddangosir isod.</t>
  </si>
  <si>
    <t>E-bost:</t>
  </si>
  <si>
    <t>Part A: Chargeable dwellings</t>
  </si>
  <si>
    <t>Rhan A: Anheddau trethadwy</t>
  </si>
  <si>
    <t>All chargeable dwellings</t>
  </si>
  <si>
    <t>Holl anheddau trethadwy</t>
  </si>
  <si>
    <t>Dwellings subject to disability reduction (included in line A1)</t>
  </si>
  <si>
    <t>Anheddau sy'n derbyn gostyngiad anabledd ( sy'n gynwysedig yn llinell A1 )</t>
  </si>
  <si>
    <t>Adjusted chargeable dwellings (taking into account disability reductions)</t>
  </si>
  <si>
    <t>Cyfanswm yr anheddau trethadwy wedi'i addasu ( gan gymryd i ystyriaeth y gostyngiadau anabledd )</t>
  </si>
  <si>
    <t>Part B: Adjusted chargeable dwellings  (see note 4)</t>
  </si>
  <si>
    <t>Rhan B: Cyfanswm yr anheddau trethadwy wedi'i addasu ( gweler nodyn 4 )</t>
  </si>
  <si>
    <t>Dwellings with no discount</t>
  </si>
  <si>
    <t>Anheddau heb disgownt</t>
  </si>
  <si>
    <t>Dwellings with a 25% discount</t>
  </si>
  <si>
    <t>Anheddau â gostyngiad o 25%</t>
  </si>
  <si>
    <t>Dwellings with a 50% discount</t>
  </si>
  <si>
    <t>Anheddau â gostyngiad o 50%</t>
  </si>
  <si>
    <t>Dwellings with a discount other than 25% or 50% (Part G line 11)</t>
  </si>
  <si>
    <t>Anheddau â gostyngiad ar wahan i 25% neu 50% ( Rhan G, llinell 11 )</t>
  </si>
  <si>
    <t>Total adjusted chargeable dwellings  (=B1+B2+B3+B3a=A3)</t>
  </si>
  <si>
    <t>Cyfanswm yr anheddau trethadwy wedi'i addasu ( = B1 + B2 + B3 + B3a = A3 )</t>
  </si>
  <si>
    <t>Total variable discounts  (=Part G line 12)</t>
  </si>
  <si>
    <t>Holl disgowntiau newidiol ( =Rhan G, llinell 12 )</t>
  </si>
  <si>
    <t>Validation check: B4 should equal A3 (failure = difference, pass =0)</t>
  </si>
  <si>
    <t>Gwiriad dilysu: dylai B4 fod yn gyfartal ag A3</t>
  </si>
  <si>
    <t>Part C: Calculation of discounted chargeable dwellings</t>
  </si>
  <si>
    <t>allan o ddefnydd</t>
  </si>
  <si>
    <t xml:space="preserve">Total discounted dwellings  (=A3-(B2x0.25-B3x0.5)-B5)  (see note 5) </t>
  </si>
  <si>
    <t xml:space="preserve">Holl anheddau â disgownt  ( = A3- ( B2  x 0.25 - B3 x 0.5 ) - B5 )  ( gweler nodyn 5 ) </t>
  </si>
  <si>
    <t>Ratio to band D</t>
  </si>
  <si>
    <t>Cymhareb â band D</t>
  </si>
  <si>
    <t>Band D equivalents  (=C2xC3)  (rounded to 2 decimal places)</t>
  </si>
  <si>
    <t>Cyfwerthoedd Band D  ( = C2 x C3 )  ( wedi'u talgrynnu i ddau le degol )</t>
  </si>
  <si>
    <t xml:space="preserve">Exempt dwellings Classes A to N and P to W 
(not included in sections A to C above) </t>
  </si>
  <si>
    <t>Anheddau ag eithriadau Dosbarthiadau A i N a P i W 
( heb eu cynnwys yn adrannau A i C uchod )  ( gweler nodyn 6 )</t>
  </si>
  <si>
    <t xml:space="preserve">Exempt dwellings Class O 
(not included in sections A to C above) </t>
  </si>
  <si>
    <t>Anheddau ag eithriad dosbarth O 
( heb eu cynnwys yn adrannau A i C uchod ) ( gweler nodiadau 6 a 7 )</t>
  </si>
  <si>
    <t>All dwellings in class A prescribed under Section 12 
(included in section B above)  (see note 8)</t>
  </si>
  <si>
    <t>Holl anheddau dosbarth A sydd wedi'u pennu o dan Adran 12 (1) 
( wedi'u cynnwys yn adran B uchod ) ( gweler nodyn 8 )</t>
  </si>
  <si>
    <t>Discount for each dwelling in prescribed class A 
(enter percentage applied)  (see note 9)</t>
  </si>
  <si>
    <t>Holl anheddau dosbarth B sydd wedi'u pennu o dan Adran 12 (1) 
( wedi'u cynnwys yn rhan B uchod ) ( gweler nodyn 8 )</t>
  </si>
  <si>
    <t>All dwellings in class B prescribed under Section 12 
(included in section B above)  (see note 8)</t>
  </si>
  <si>
    <t>Disgownt i bob annedd wedi'u pennu i ddosbarth B 
( nodwch y canran cymhwysol ) ( gweler nodyn 9 )</t>
  </si>
  <si>
    <t>Discount for each dwelling in prescribed class B  
(enter percentage applied)  (see note 9)</t>
  </si>
  <si>
    <t>Holl anheddau dosbarth C sydd wedi'u pennu o dan Adran 12 (1) 
( wedi'u cynnwys yn rhan B uchod ) ( gweler nodyn 8 )</t>
  </si>
  <si>
    <t>All dwellings in class C prescribed under Section 12 
(included in section B above)  (see note 8)</t>
  </si>
  <si>
    <t>Disgownt i bob annedd wedi'u pennu i ddosbarth C 
( nodwch y canran cymhwysol ) ( gweler nodyn 9 )</t>
  </si>
  <si>
    <t>Discount for each dwelling in prescribed class C  
(enter percentage applied)  (see note 9)</t>
  </si>
  <si>
    <t>Disgownt i bob annedd wedi'u pennu i ddosbarth A 
( nodwch y canran cymhwysol ) ( gweler nodyn 9 )</t>
  </si>
  <si>
    <t>Validation check: D4=0, or between 0% and 50%</t>
  </si>
  <si>
    <t>Gwiriad dilysu: D4=0, neu rhwng 0% a 50%</t>
  </si>
  <si>
    <t>Validation check: D6=0, or between 0% and 50%</t>
  </si>
  <si>
    <t>Validation check: D8=0, or between 0% and 50%</t>
  </si>
  <si>
    <t>Valuation band</t>
  </si>
  <si>
    <t>band priso</t>
  </si>
  <si>
    <t>Total (= sum of band figures)</t>
  </si>
  <si>
    <t>Cyfanswm ( = swm ffigurau pob band )</t>
  </si>
  <si>
    <t>(sum of individual bands - carry to E1)</t>
  </si>
  <si>
    <t>( swm y bandiau unigol - cario i E1 )</t>
  </si>
  <si>
    <t>For Welsh Government Administration only</t>
  </si>
  <si>
    <t>Am gweinyddu Llywodraeth Cymru yn unig</t>
  </si>
  <si>
    <t>Part E: Calculation of council tax base</t>
  </si>
  <si>
    <t>Rhan E: Cyfrifo'r sylfaen dreth gyngor</t>
  </si>
  <si>
    <t>Chargeable dwellings: band D equivalents  (=C4 total)</t>
  </si>
  <si>
    <t>Anheddau trethadwy: cyfwerthoedd band D ( = cyfanswm C4 )</t>
  </si>
  <si>
    <t>Collection rate (please enter to 2 decimal places)</t>
  </si>
  <si>
    <t>Cyfradd gasglu ( wedi'i thalgrynnu i ddau le degol )</t>
  </si>
  <si>
    <t>= E1 x E2 (rounded to 2 decimal places)</t>
  </si>
  <si>
    <t>= E1 x E2 ( wedi'i dalgrynnu i ddau le degol )</t>
  </si>
  <si>
    <t>Class O exempt dwellings: band D equivalents  (please enter to 2 decimal places)</t>
  </si>
  <si>
    <t xml:space="preserve">Anheddau Dosbarth O wedi'u heithrio: cyfwerthoedd band D </t>
  </si>
  <si>
    <t>(see note 10)</t>
  </si>
  <si>
    <t>( nodwch i ddau le degol ) ( gweler nodyn 10 )</t>
  </si>
  <si>
    <t>Council tax base for tax-setting purposes  (=E3+E4)</t>
  </si>
  <si>
    <t>Y sylfaen dreth gyngor at ddiben pennu'r dreth ( = E3 + E4 )</t>
  </si>
  <si>
    <t>100% council tax base for calculating revenue support grant (=E5a+E4)</t>
  </si>
  <si>
    <t>100% o'r sylfaen dreth gyngor ar gyfer cyfrifo'r grant cynnal refeniw ( =E5a+E4)</t>
  </si>
  <si>
    <t>Part F: Exempt dwellings by class of exemption</t>
  </si>
  <si>
    <t>Rhan F: Anheddau wedi'u heithrio yn ôl dosbarth</t>
  </si>
  <si>
    <t>Class</t>
  </si>
  <si>
    <t>Dosbarth</t>
  </si>
  <si>
    <t>Total all classes</t>
  </si>
  <si>
    <t>Cyfanswm pob dosbarth</t>
  </si>
  <si>
    <t>(must match total of lines D1 and D2)</t>
  </si>
  <si>
    <t>( rhaid cyfateb i gyfanswm llinellau D1 a D2 )</t>
  </si>
  <si>
    <t>Validation check</t>
  </si>
  <si>
    <t xml:space="preserve">Gwiriad dilysu: </t>
  </si>
  <si>
    <t>Part G : Variable discounts</t>
  </si>
  <si>
    <t xml:space="preserve">Rhan G: Disgowntiau newidiol </t>
  </si>
  <si>
    <t>Area</t>
  </si>
  <si>
    <t>Ardal</t>
  </si>
  <si>
    <t>Enter the name of area</t>
  </si>
  <si>
    <t>Cofnodwch enw ardal</t>
  </si>
  <si>
    <t>* this may be 'whole authority', a single community area or a number of community areas</t>
  </si>
  <si>
    <t>* gall hyn fod yr 'awdurdod gyfan', ardal cymuned unigol neu nifer o ardaloedd cymunedol</t>
  </si>
  <si>
    <t>Certification of Chief Financial Officer</t>
  </si>
  <si>
    <t>Ardystuad Y Prif Swyddog Cyllid</t>
  </si>
  <si>
    <t>I certify that the council tax base shown in sections A to E above has been calculated by my authority in accordance with the Local Authorities (Calculation of Council Tax Base) Regulations 1995 (Wales) (SI 1995/2561) as amended.   Where indicated below, the figures have been approved, in accordance with section 67 of the Local Government Finance Act 1992, as amended by section 84 of the Local Government Act 2003.</t>
  </si>
  <si>
    <t>Tystiaf fod fy awdurdod wedi cyfrifo'r sylfaen dreth gyngor a'r ffigurau eraill a nodir ar y ffurflen hon yn unol â Rheoliadau Llywodraeth Leol (Cyfrifo Sylfaen Treth Gyngor) 1995 (Cymru) (OS 1995/2561) fel y'u diwygiwyd. Lle nodir isod, mae'r ffigurau wedi'u cymeradwyo, yn unol ag adran 67 o Ddeddf Cyllid Llywodraeth Leol 1992, fel y'u diwygiwyd gan adran 84 o Ddeddf Llywodraeth Leol 2003.</t>
  </si>
  <si>
    <t>Please tick the appropriate box</t>
  </si>
  <si>
    <t>Nodwch tic yn y blwch proiodol</t>
  </si>
  <si>
    <t>The figures have not yet been approved;</t>
  </si>
  <si>
    <t>Nid yw'r ffigurau wedi'u cymeradwyo eto;</t>
  </si>
  <si>
    <t>the figures have been approved by executive decision;</t>
  </si>
  <si>
    <t>mae'r ffigurau wedi'u cymeradwyo trwy benderfyniad gweithredol;</t>
  </si>
  <si>
    <t>or</t>
  </si>
  <si>
    <t>neu</t>
  </si>
  <si>
    <t>the figures have been approved by the full council.</t>
  </si>
  <si>
    <t>mae'r ffigurau wedi'u cymeradwyo trwy gan y cyngor llawn.</t>
  </si>
  <si>
    <t xml:space="preserve">Chief Financial Officer:   </t>
  </si>
  <si>
    <t>Prif Swyddog Cyllid</t>
  </si>
  <si>
    <t>Date:</t>
  </si>
  <si>
    <t>Dyddiad:</t>
  </si>
  <si>
    <t>Discount pecentage applied</t>
  </si>
  <si>
    <t>Canran disgownt wedi'i gymhwyso</t>
  </si>
  <si>
    <t>Properties</t>
  </si>
  <si>
    <t>Eiddo</t>
  </si>
  <si>
    <t>Discounts</t>
  </si>
  <si>
    <t>Disgowntiau</t>
  </si>
  <si>
    <t>Number of properties</t>
  </si>
  <si>
    <t>Nifer o eiddo</t>
  </si>
  <si>
    <t>Total number of properties</t>
  </si>
  <si>
    <t>Cyfanswm nifer o eiddo</t>
  </si>
  <si>
    <t>Band</t>
  </si>
  <si>
    <t>Rhowch sylwadau</t>
  </si>
  <si>
    <t>Part D: Memorandum items</t>
  </si>
  <si>
    <t>Rhan D: Eitemau Memorandwm</t>
  </si>
  <si>
    <t>Line</t>
  </si>
  <si>
    <t>Llinio</t>
  </si>
  <si>
    <t>Cod</t>
  </si>
  <si>
    <t>Blwyddyn</t>
  </si>
  <si>
    <t>final ratified taxbase</t>
  </si>
  <si>
    <t>Sylfaen treth derfynol wedi'i chadarnhau</t>
  </si>
  <si>
    <t>Any queries on completion of the form or spreadsheet should be directed in the first instance, via telephone or e-mail, as directed below:</t>
  </si>
  <si>
    <t>Dylech gyfeirio unrhyw ymholiadau ynghylch sut i gwblhau'r ffurflen, yn y lle cyntaf, drwy ffon neu e-bost, gan ddilyn y cyfarwyddyd isod:</t>
  </si>
  <si>
    <t>ID No</t>
  </si>
  <si>
    <t>Rhif ID</t>
  </si>
  <si>
    <t>Value</t>
  </si>
  <si>
    <t>Gwerth</t>
  </si>
  <si>
    <t>Status</t>
  </si>
  <si>
    <t>Statws</t>
  </si>
  <si>
    <t>Problem</t>
  </si>
  <si>
    <t>Valuation Office Agency Check</t>
  </si>
  <si>
    <t>Gwiriad Asiantaeth y  Swyddfa Brisio</t>
  </si>
  <si>
    <t>Dwellings with no discount (including empty properties and second homes with no discount)</t>
  </si>
  <si>
    <t>Anheddau heb ddisgownt (gan gynnwys eiddo gwag ac ail gartrefi heb ddisgownt)</t>
  </si>
  <si>
    <t>Dwellings with a 25% discount (excluding empty properties and second homes)</t>
  </si>
  <si>
    <t>Anheddau gyda disgownt o 25% (ag eithrio eiddo gwag ac ail gartrefi heb ddisgownt)</t>
  </si>
  <si>
    <t>Dwellings with a 50% discount (excluding empty properties and second homes)</t>
  </si>
  <si>
    <t>Anheddau gyda disgownt o 50% (ag eithrio eiddo gwag ac ail gartrefi heb ddisgownt)</t>
  </si>
  <si>
    <t>Dwellings with a variable discount other than 25% or 50% (Part G line 11)</t>
  </si>
  <si>
    <t>Anheddau gyda disgownt amrywiol ag eithrio 25% neu 50% (Rhan G llinell 11)</t>
  </si>
  <si>
    <t>Dwellings with an empty property or second homes discount</t>
  </si>
  <si>
    <t>Anheddau gyda disgownt eiddo gwag neu ail gartref</t>
  </si>
  <si>
    <t>Dwellings with an empty property or second homes premium</t>
  </si>
  <si>
    <t>Anheddau gyda phremiwm eiddo gwag neu ail gartref</t>
  </si>
  <si>
    <t>Total adjusted chargeable dwellings  (sum of B1 toB3c=A3)</t>
  </si>
  <si>
    <t>Cyfanswm yr anheddau a addaswyd sydd yn daladwy (cyfanswm o B1iB3c=A3)</t>
  </si>
  <si>
    <t>Empty property and second homes discount adjustment</t>
  </si>
  <si>
    <t>Addasiad disgownt eiddo gwag neu ail gartref</t>
  </si>
  <si>
    <t>Empty property and second homes premium adjustment</t>
  </si>
  <si>
    <t>Addasiad premiwm eiddo gwag neu ail gartref</t>
  </si>
  <si>
    <t>Part C: Calculation of chargeable dwellings with discounts and premiums</t>
  </si>
  <si>
    <t>Rhan C: Cyfrifiad o anheddau sy'n daladwy gyda disgowntiau a phremiymau</t>
  </si>
  <si>
    <t xml:space="preserve">Total dwellings including discounts and premiums  (=A3-(B2ax0.25)-(B2bx0.5)-B5-B6+B7)  </t>
  </si>
  <si>
    <t xml:space="preserve">Cyfanswm anheddau gan gynnwys disgowntiau a phremiymau (=A3-(B2ax0.25)-(B2bx0.5)-B5-B6+B7)  </t>
  </si>
  <si>
    <t>Discounted chargeable dwellings excluding premium adjustment</t>
  </si>
  <si>
    <t>Anheddau disgowntiedig sydd yn daladwy ag eithrio addasiad premiwm</t>
  </si>
  <si>
    <t>Please enter actual dwelling numbers</t>
  </si>
  <si>
    <t>Cofnodwch y nifer gwirioneddol o anheddau</t>
  </si>
  <si>
    <t xml:space="preserve">If the value of percentage discount/premium is not shown in the table please add the percentage value to the bottom row of the "Percentage discount or "Percentage premium" column. </t>
  </si>
  <si>
    <t>Os nad yw gwerth y ganran disgownt/premiwm wedi ei ddangos yn y tabl, ychwanegwch y gwerth canran i  res waelod y golofn "Canran disgownt" neu "Canran premiwm"</t>
  </si>
  <si>
    <t xml:space="preserve">Band D equivalents excluding premium adjustment </t>
  </si>
  <si>
    <t>Cyfwerthoedd Band D ag eithrio addasiad premiwm</t>
  </si>
  <si>
    <t>Discount and premium adjustments</t>
  </si>
  <si>
    <t>Addasiadau disgownt a phremiwm</t>
  </si>
  <si>
    <t>Chargeable empty properties with no discount or premium</t>
  </si>
  <si>
    <t>Eiddo gwag sydd yn daladwy heb ddisgownt na phremiwm</t>
  </si>
  <si>
    <t>Chargeable second homes with no discount or premium</t>
  </si>
  <si>
    <t>Ail gartrefi sydd yn daladwy heb ddisgownt na phremiwm</t>
  </si>
  <si>
    <t>Empty Property Discount</t>
  </si>
  <si>
    <t>Disgownt eiddo gwag</t>
  </si>
  <si>
    <t>Please enter by band and percentage discount, the number of dwellings that are empty as at 31 October 2016.</t>
  </si>
  <si>
    <t>Cofnodwch, yn ôl band a'r ganran disgownt, nifer yr anheddau sydd yn wag ar 31 Hydref 2016</t>
  </si>
  <si>
    <t>Percentage Discount</t>
  </si>
  <si>
    <t>Canran disgownt</t>
  </si>
  <si>
    <t>Empty Property Premium</t>
  </si>
  <si>
    <t>Premiwm eiddo gwag</t>
  </si>
  <si>
    <t>Please enter by band and percentage the premium your authority charges for empty properties and not included in table above.</t>
  </si>
  <si>
    <t>Cofnodwch, yn ôl band a chanran, y premiwm y mae eich awdurdod yn ei godi ar gyfer eiddo gwag nad yw wedi ei  gynnwys yn y tabl uchod</t>
  </si>
  <si>
    <t>Percentage Premium</t>
  </si>
  <si>
    <t>Canran premiwm</t>
  </si>
  <si>
    <t>Second Homes Discount</t>
  </si>
  <si>
    <t>Disgownt ail gartref</t>
  </si>
  <si>
    <t>Please enter by band and percentage the discount your authority awards for dwellings registered as second homes</t>
  </si>
  <si>
    <t>Cofnodwch, yn ôl band a chanran, y disgownt y mae eich awdurdod yn ei ddyfarnu ar gyfer anheddau a gofrestrir fel ail gartrefi</t>
  </si>
  <si>
    <t>Second Homes Premium</t>
  </si>
  <si>
    <t>Premiwm ail gartref</t>
  </si>
  <si>
    <t>Please enter by band and percentage the premium your authority charges for dwellings registered as second homes and not included in table above.</t>
  </si>
  <si>
    <t>Cofnodwch, yn ôl band a chanran, y premiwm y mae eich awdurdod yn ei godi ar gyfer anheddau a gofrestrir fel ail gartrefi nad yw wedi ei gynnwys yn y tabl uchod</t>
  </si>
  <si>
    <t>Total chargeable empty properties</t>
  </si>
  <si>
    <t>Cyfanswm eiddo gwag sy'n daladwy</t>
  </si>
  <si>
    <t>Total chargeable second homes</t>
  </si>
  <si>
    <t>Cyfanswm ail gartrefi sy'n daladwy</t>
  </si>
  <si>
    <t>Dwelling equivalents</t>
  </si>
  <si>
    <t xml:space="preserve"> </t>
  </si>
  <si>
    <t>Cyfwerthoedd anheddau</t>
  </si>
  <si>
    <t>Reduction due to Empty Property Discount</t>
  </si>
  <si>
    <t>Gostyngiad oherwydd disgownt eiddo gwag</t>
  </si>
  <si>
    <t>Increase due to Empty Property Premium</t>
  </si>
  <si>
    <t>Cynnydd oherwydd disgownt eiddo gwag</t>
  </si>
  <si>
    <t>Reduction due to Second Homes discount</t>
  </si>
  <si>
    <t>Gostyngiad oherwydd disgownt ail gartref</t>
  </si>
  <si>
    <t>Increase due Second Homes Premium</t>
  </si>
  <si>
    <t>Cynnydd oherwydd disgownt ail gartref</t>
  </si>
  <si>
    <t>Please check the validation sheet before sending the form.</t>
  </si>
  <si>
    <t>Gwiriwch y daenlen ddilysu cyn anfon y  ffurflen</t>
  </si>
  <si>
    <t>Part H: Empty and second homes - chargeable only - exclude exemptions</t>
  </si>
  <si>
    <t>Rhan H: Cartrefi gwag ac ail gartrefi - taladwy yn unig - ag eithrio eithriadau</t>
  </si>
  <si>
    <t xml:space="preserve">Total discounted dwellings excluding premium adjustment </t>
  </si>
  <si>
    <t>Cyfanswm yr anheddau disgowntiedig ag eithrio addasiad premiwm</t>
  </si>
  <si>
    <t>Validation checks  -  please insert comments where requested</t>
  </si>
  <si>
    <t>Gwiriadau dilysu - ychwanegwch sylwadau lle gofynnir am hynny</t>
  </si>
  <si>
    <t>budget requirement</t>
  </si>
  <si>
    <t>Gwariant ac incwm</t>
  </si>
  <si>
    <t>discretionary non-domestic rate relief</t>
  </si>
  <si>
    <t>rhyddhad ardreth annomestig dewisiol</t>
  </si>
  <si>
    <t>Grant cynnal refeniw</t>
  </si>
  <si>
    <t>Band D equivalent dwellings</t>
  </si>
  <si>
    <t>Anheddau Cyfwerthoedd Band D</t>
  </si>
  <si>
    <t>Class O exempt dwellings</t>
  </si>
  <si>
    <t>Anheddau Dosbarth O wedi'u heithrio</t>
  </si>
  <si>
    <t>number</t>
  </si>
  <si>
    <t>nifer</t>
  </si>
  <si>
    <t>collection rate assumed</t>
  </si>
  <si>
    <t>Cyfradd gasglu tybio</t>
  </si>
  <si>
    <t>Council tax base before collection rate adjustment</t>
  </si>
  <si>
    <t>sylfaen y dreth gyngor cyn addasiad gyfradd casglu</t>
  </si>
  <si>
    <t>calculated</t>
  </si>
  <si>
    <t>excluding community council precepts</t>
  </si>
  <si>
    <t>including community council precepts</t>
  </si>
  <si>
    <t>gan gynnwys praeseptau cynghorau cymuned</t>
  </si>
  <si>
    <t>Council tax excluding community council precepts</t>
  </si>
  <si>
    <t>treth y cyngor heb gynnwys praeseptau'r cynghorau cymuned</t>
  </si>
  <si>
    <t>police authority precept</t>
  </si>
  <si>
    <t>praesept awdurdod heddlu</t>
  </si>
  <si>
    <t>Total Central government support (calculated)</t>
  </si>
  <si>
    <t>Cyfanswm Cymorth llywodraeth ganolog (cyfrifo)</t>
  </si>
  <si>
    <t>Amount to be collected from the council tax</t>
  </si>
  <si>
    <t>Swm i'w casglu o'r dreth gyngor</t>
  </si>
  <si>
    <t>Council tax base for tax-setting purposes</t>
  </si>
  <si>
    <t>Y sylfaen dreth gyngor at ddiben pennu'r dreth</t>
  </si>
  <si>
    <t>£ per band D equivalent dwelling</t>
  </si>
  <si>
    <t>£ am bob annedd Cyfwerthoedd Band D</t>
  </si>
  <si>
    <t>Council tax calculated under s33</t>
  </si>
  <si>
    <t>treth y cyngor a gyfrifir o dan adran 33</t>
  </si>
  <si>
    <t>Council tax of police authority in billing authority's area</t>
  </si>
  <si>
    <t>Mae'r dreth gyngor o awdurdod yr heddlu yn ardal yr awdurdod bilio</t>
  </si>
  <si>
    <t>Average council tax for area of billing authority</t>
  </si>
  <si>
    <t>treth y cyngor ar gyfartaledd ar gyfer ardal awdurdod bilio</t>
  </si>
  <si>
    <t>£ to nearest penny</t>
  </si>
  <si>
    <t>£ i geiniog agosaf</t>
  </si>
  <si>
    <t>input</t>
  </si>
  <si>
    <t>mewnbwn</t>
  </si>
  <si>
    <t>adjustable</t>
  </si>
  <si>
    <t>addasadwy</t>
  </si>
  <si>
    <t>locked</t>
  </si>
  <si>
    <t>Llofnod Y Prif Swyddog Cyllid:</t>
  </si>
  <si>
    <t>Text Conversion Tables</t>
  </si>
  <si>
    <t>Row Ref</t>
  </si>
  <si>
    <t>English Text</t>
  </si>
  <si>
    <t>Welsh Text</t>
  </si>
  <si>
    <t>Display Text</t>
  </si>
  <si>
    <t>FrontPage</t>
  </si>
  <si>
    <t>Budget Requirement Return</t>
  </si>
  <si>
    <t>This form must be returned within 7 days of calculating your Budget Requirement.</t>
  </si>
  <si>
    <t>The latest date for return is</t>
  </si>
  <si>
    <t>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t>
  </si>
  <si>
    <t>For Welsh Government administration only</t>
  </si>
  <si>
    <t>tolerance</t>
  </si>
  <si>
    <t>UANumber</t>
  </si>
  <si>
    <t>UA Drop-down box (FrontPage)</t>
  </si>
  <si>
    <t>DO NOT DELETE - List for Language Drop-Down</t>
  </si>
  <si>
    <t>Language Drop-down box (FrontPage)</t>
  </si>
  <si>
    <t>Selected Authority Name</t>
  </si>
  <si>
    <t>English / Saesneg</t>
  </si>
  <si>
    <t>UAName (W)</t>
  </si>
  <si>
    <t>List for Authority Drop-Down</t>
  </si>
  <si>
    <t>Swyddfa Comisiynydd Yr Heddlu a Throseddu Dyfed-Powys</t>
  </si>
  <si>
    <t>Swyddfa Comisiynydd Yr Heddlu a Throseddu Gwent</t>
  </si>
  <si>
    <t>Swyddfa Comisiynydd Heddlu a Throsedd Gogledd Cymru</t>
  </si>
  <si>
    <t>Swyddfa Comisiynydd Yr Heddlu a Throseddu cyntaf De Cymru</t>
  </si>
  <si>
    <t>Edwin Harries</t>
  </si>
  <si>
    <t>226395</t>
  </si>
  <si>
    <t>Total of lines 11 to 17 (to agree with lines 7 and 6 above)</t>
  </si>
  <si>
    <t>Taxbase (Band D equivalent)</t>
  </si>
  <si>
    <t>Council tax calculated under s44 (line 6 ÷ line 7)</t>
  </si>
  <si>
    <t>taxbase</t>
  </si>
  <si>
    <t>please read notes for guidance before completing the form</t>
  </si>
  <si>
    <t>please select your authority on Front Page</t>
  </si>
  <si>
    <t>Caerffili</t>
  </si>
  <si>
    <t>Ynys Môn</t>
  </si>
  <si>
    <t>Abertawe</t>
  </si>
  <si>
    <t>Castell-Nedd</t>
  </si>
  <si>
    <t>Pen-y-Bont</t>
  </si>
  <si>
    <t>Sir Fynwy</t>
  </si>
  <si>
    <t>Casnewydd</t>
  </si>
  <si>
    <t>Wrecsam</t>
  </si>
  <si>
    <t>Merthyr Tudful</t>
  </si>
  <si>
    <t>Caerdydd</t>
  </si>
  <si>
    <t>Blank</t>
  </si>
  <si>
    <t>blanc</t>
  </si>
  <si>
    <t>blank</t>
  </si>
  <si>
    <t>Sir Benfro</t>
  </si>
  <si>
    <t>Sir Gaerfyrddin</t>
  </si>
  <si>
    <t>Ffurflen Gofynion Cyllideb</t>
  </si>
  <si>
    <t>Mawrth</t>
  </si>
  <si>
    <t>March</t>
  </si>
  <si>
    <t>Gofynion y Gyllideb</t>
  </si>
  <si>
    <t>wedi cyfrifo</t>
  </si>
  <si>
    <t>heb gynnwys praeseptau cynghorau cymuned</t>
  </si>
  <si>
    <t>Swm i'w gasglu o'r dreth gyngor</t>
  </si>
  <si>
    <t>Ail-ddosbarthu ardrethi annomestig</t>
  </si>
  <si>
    <t>wedi cloi</t>
  </si>
  <si>
    <t>Sylfaen drethu (cyfwerth â Band D)</t>
  </si>
  <si>
    <t>darllenwch y canllawiau cyn llenwi'r ffurflen</t>
  </si>
  <si>
    <t>gwag</t>
  </si>
  <si>
    <t>Ffurflen Gofynion y Gyllideb</t>
  </si>
  <si>
    <t>Rhaid cyflwyno'r wybodaeth ar y ffurflen hon o dan adran 64 o Ddeddf Cyllid Llywodraeth Leol 1992, fel y'i diwygiwyd.</t>
  </si>
  <si>
    <t xml:space="preserve">Rhaid dychwelyd y ffurflen hon o fewn 7 diwrnod i gyfrifo Gofynion y Gyllideb. </t>
  </si>
  <si>
    <t>Y dyddiad hwyraf ar gyfer dychwelyd yw</t>
  </si>
  <si>
    <t>Dyraniad grant yr heddlu dan y brif fformiwla (gan gynnwys cyllido gwaelodol)</t>
  </si>
  <si>
    <t>Sylfaen y dreth gyngor ar gyfer yr ardal (cyfwerth â Band D)</t>
  </si>
  <si>
    <t xml:space="preserve">Praeseptau </t>
  </si>
  <si>
    <t>(Swm y praeseptau a roddwyd i awdurdodau bilio yn unol ag adran 40(2)b o Ddeddf Cyllid Llywodraeth Leol 1992)</t>
  </si>
  <si>
    <t>Enw'r awdurdod bilio</t>
  </si>
  <si>
    <t>Cyfanswm llinellau 11 i 17 (i gyfateb â llinellau 7 a 6 uchod)</t>
  </si>
  <si>
    <t>Praesept</t>
  </si>
  <si>
    <t xml:space="preserve">sylfaen drethu  </t>
  </si>
  <si>
    <t>rhyddhad ardrethi annomestig dewisiol</t>
  </si>
  <si>
    <t>Anheddau cyfwerth â Band D</t>
  </si>
  <si>
    <t>cyfradd gasglu dybiedig</t>
  </si>
  <si>
    <t>y dreth gyngor heb gynnwys praeseptau cynghorau cymuned</t>
  </si>
  <si>
    <t>praesept awdurdod yr heddlu</t>
  </si>
  <si>
    <t>Cyfanswm cymorth llywodraeth ganolog (wedi cyfrifo)</t>
  </si>
  <si>
    <t>sylfaen y dreth gyngor at ddiben pennu'r dreth</t>
  </si>
  <si>
    <t>£ am bob annedd cyfwerth â Band D</t>
  </si>
  <si>
    <t>y dreth gyngor a gyfrifwyd o dan adran 33</t>
  </si>
  <si>
    <t>treth gyngor awdurdod yr heddlu yn ardal yr awdurdod bilio</t>
  </si>
  <si>
    <t>y dreth gyngor gyfartalog ar gyfer ardal awdurdod bilio</t>
  </si>
  <si>
    <t>£ i'r geiniog agosaf</t>
  </si>
  <si>
    <t>Llofnod y Prif Swyddog Cyllid:</t>
  </si>
  <si>
    <t>Billing authorities only</t>
  </si>
  <si>
    <t>Awdurdodau bilio yn unig</t>
  </si>
  <si>
    <t>Yr wyf yn ardystio, hyd eithaf fy ngwybodaeth a’m cred, bod yr wybodaeth sy'n cael ei darparu ar y ffurflen hon yn gywir ac yn gyson gyda'r amcangyfrifon a'r cyfrifon a wnaed gan fy awdurdod at ddibenion ei gyfrifon dan adrannau 32 a 33 o Ddeddf Cyllid Llywodraeth Leol 1992, fel y'i diwygiwyd.</t>
  </si>
  <si>
    <t>Cells J14 and J15 above come from our WG Local Government Finance policy colleagues, they must be repeated in cells G14 and G15 which is why those cells are locked.</t>
  </si>
  <si>
    <t>Daw celloedd J14 a J15 uchod oddi wrth ein cydweithwyr polisi Cyllid Llywodraeth Leol yn Llywodraeth Cymru. Rhaid eu hailadrodd yng nghelloedd G14 a G15, a dyna pam mae'r celloedd hynny wedi'u cloi.</t>
  </si>
  <si>
    <t>Cell J25 comes from your Authority's Council Tax Dwellings (CT1) return, 2017-18, cell G25 must match it.</t>
  </si>
  <si>
    <t>Daw cell J25 o ffurflen Anheddau Treth Gyngor eich Awdurdod (CT1), 2016-17, rhaid i gell G25 gyfateb â hi.</t>
  </si>
  <si>
    <t>Cell G32 is calculated but it can be over written to allow for minor rounding adjustments.</t>
  </si>
  <si>
    <t>Mae Cell G32 wedi'i chyfrifo ond gellir ysgrifennu drosti er mwyn caniatáu ar gyfer mân addasiadau talgrynnu.</t>
  </si>
  <si>
    <t>Police Authorities only</t>
  </si>
  <si>
    <t>Sir Ddinbych</t>
  </si>
  <si>
    <t>Bro Morgannwg</t>
  </si>
  <si>
    <t>Sir y Fflint</t>
  </si>
  <si>
    <t>Please select your region on the FrontPage</t>
  </si>
  <si>
    <t>Council Tax at Standard Spending</t>
  </si>
  <si>
    <t>Distributable Non Domestic Rates</t>
  </si>
  <si>
    <t>Revenue Support Grant</t>
  </si>
  <si>
    <t>Total Standard Spending Assessment</t>
  </si>
  <si>
    <t>Copy/paste values into this table from Police Settlement</t>
  </si>
  <si>
    <t>Confirmed by</t>
  </si>
  <si>
    <t>Date</t>
  </si>
  <si>
    <t>Edit Query and Update to correct year</t>
  </si>
  <si>
    <t>KEY</t>
  </si>
  <si>
    <t>Do Not Amend</t>
  </si>
  <si>
    <t>Update Fields (each year)</t>
  </si>
  <si>
    <t>Update Query (each year)</t>
  </si>
  <si>
    <t>Enter Return Year Below</t>
  </si>
  <si>
    <t>This adds precepting code for</t>
  </si>
  <si>
    <t>each entry in col 3, row 11 to 18</t>
  </si>
  <si>
    <t>Checked By</t>
  </si>
  <si>
    <t>Bruce</t>
  </si>
  <si>
    <t>Key for cells in columns F, G:</t>
  </si>
  <si>
    <t>Allwedd ar gyfer celloedd yng ngholofni F, G:</t>
  </si>
  <si>
    <t xml:space="preserve">Hyperddolen canllawiau / Notes for guidance hyperlink </t>
  </si>
  <si>
    <t>Cyfanswm llinellau 2, 3 a 4</t>
  </si>
  <si>
    <t>Y dreth gyngor a gyfrifwyd o dan adran 44 (llinell 6 ÷ llinell 7)</t>
  </si>
  <si>
    <t>Once certified, please send the following:</t>
  </si>
  <si>
    <t>Ar ôl ardystio dylech anfon y canlynol atom:</t>
  </si>
  <si>
    <t>An electronic copy of the spreadsheet for data processing.</t>
  </si>
  <si>
    <t>Copi electronig o'r daenlen ar gyfer prosesu data.</t>
  </si>
  <si>
    <t>A signed copy of the spreadsheet (preferably as a PDF) or by post.</t>
  </si>
  <si>
    <t>Copi wedi'i lofnodi o'r daenlen (yn ddelfrydol fel PDF) neu drwy'r post.</t>
  </si>
  <si>
    <t>●</t>
  </si>
  <si>
    <t>YCLLL.trosglwyddo@llyw.cymru</t>
  </si>
  <si>
    <t>030 0025 5673 / 030 0025 9169</t>
  </si>
  <si>
    <t>zero?</t>
  </si>
  <si>
    <t>YOY Figures</t>
  </si>
  <si>
    <t>difference</t>
  </si>
  <si>
    <t>type</t>
  </si>
  <si>
    <t>auto</t>
  </si>
  <si>
    <t>mark</t>
  </si>
  <si>
    <t>check</t>
  </si>
  <si>
    <t>status</t>
  </si>
  <si>
    <t>%</t>
  </si>
  <si>
    <t>Your Comments</t>
  </si>
  <si>
    <t>date</t>
  </si>
  <si>
    <t>DataY1</t>
  </si>
  <si>
    <t>DataY2</t>
  </si>
  <si>
    <t>DataY3</t>
  </si>
  <si>
    <t>Auto</t>
  </si>
  <si>
    <t>Mark</t>
  </si>
  <si>
    <t>Check</t>
  </si>
  <si>
    <t>Our Comments</t>
  </si>
  <si>
    <t>Initials</t>
  </si>
  <si>
    <t>AllRows Copy/pasted to filter out T/E rows from validations</t>
  </si>
  <si>
    <t>StandDesc</t>
  </si>
  <si>
    <t>Lookup</t>
  </si>
  <si>
    <t>DataIn</t>
  </si>
  <si>
    <t>YOYOut</t>
  </si>
  <si>
    <t>Police grant</t>
  </si>
  <si>
    <t>Sum of lines 2, 3, and 4</t>
  </si>
  <si>
    <t>Council tax calculated under s44</t>
  </si>
  <si>
    <t>Column1</t>
  </si>
  <si>
    <t>Y/Z</t>
  </si>
  <si>
    <t>Any totals not = zero in column "V" will be flagged in 'auto' column and highlighted in red</t>
  </si>
  <si>
    <t>"V"</t>
  </si>
  <si>
    <t>Displayed Text</t>
  </si>
  <si>
    <t>The line tolerance limits (columns M and N) are either pre-set or can be adjusted manually (currently set at 50 and 5% - cells M7 and N7).</t>
  </si>
  <si>
    <t xml:space="preserve">Mae’r terfynau goddefiant llinell (colofnau M ac N) naill ai wedi eu bennu ymlaen llaw, neu gellir addasu eich hun (ar hyn o bryd wedi eu gosod at 50 a 5%-celloedd M7 a N7).   </t>
  </si>
  <si>
    <t xml:space="preserve">If you wish to add supporting information to any row please put it in ‘Your Comments’, otherwise an email confirming that you are happy with the figures will do. </t>
  </si>
  <si>
    <t xml:space="preserve">Os ydych am ychwanegu gwybodaeth ategol i unrhyw res, rhowch yn 'Eich sylwadau', fel arall bydd e-bost yn cadarnhau eich bod yn fodlon ar y ffigurau yn ddigon. </t>
  </si>
  <si>
    <t>After receiving the completed form - we will mark any rows that we think need to be cleared using the 'Check' column along with adding any comments and/or</t>
  </si>
  <si>
    <t xml:space="preserve">Ar ôl derbyn y ffurflen wedi'i chwblhau - bydden yn nodi unrhyw rhesi y credwn y mae angen eu clirio gan ddefnyddio y golofn 'Gwirio' ynghyd ag ychwanegu unrhyw sylwadau a/neu </t>
  </si>
  <si>
    <t xml:space="preserve">any relevant previous comments provided by your authority in the 'Our Comments' column. We may ask you for further information if required. </t>
  </si>
  <si>
    <t>unrhyw sylwadau blaenorol perthnasol a ddarperir gan eich awdurdod yn y golofn 'Ein sylwadau’. Gallem ofyn i chi am ragor o wybodaeth os oes angen.</t>
  </si>
  <si>
    <t>STATUS FIELD KEY</t>
  </si>
  <si>
    <t>ALLWEDD STATWS MAES</t>
  </si>
  <si>
    <t>A - to be actioned by WG</t>
  </si>
  <si>
    <t>A - i gael eu gweithredu gan LlC</t>
  </si>
  <si>
    <t>C - Cleared</t>
  </si>
  <si>
    <t xml:space="preserve">C - wedi’i glirio </t>
  </si>
  <si>
    <t>NB - Important</t>
  </si>
  <si>
    <t>NB - pwysig</t>
  </si>
  <si>
    <t>U - Unresolved</t>
  </si>
  <si>
    <t xml:space="preserve">U - heb eu datrys </t>
  </si>
  <si>
    <t>W - Waiting for action from LA</t>
  </si>
  <si>
    <t>W - yn aros ar gyfer gweithrediad gan All</t>
  </si>
  <si>
    <t>TYPE FIELD KEY</t>
  </si>
  <si>
    <t xml:space="preserve">ALLWEDD MATH O FAES </t>
  </si>
  <si>
    <t>1. value only breach</t>
  </si>
  <si>
    <t xml:space="preserve">1. toriad gwerth unig </t>
  </si>
  <si>
    <t>2.  % only breach</t>
  </si>
  <si>
    <t xml:space="preserve">2.  toriad % yn unig </t>
  </si>
  <si>
    <t>3. both breached</t>
  </si>
  <si>
    <t>3. toriad yn y ddau</t>
  </si>
  <si>
    <t>9. either figure is zero</t>
  </si>
  <si>
    <t>9. Naill ai ffigur yn sero</t>
  </si>
  <si>
    <t>select</t>
  </si>
  <si>
    <t>dewiswch</t>
  </si>
  <si>
    <t>row</t>
  </si>
  <si>
    <t>rhes</t>
  </si>
  <si>
    <t>column</t>
  </si>
  <si>
    <t>colofn</t>
  </si>
  <si>
    <t>row description (sum lines shown in bold)</t>
  </si>
  <si>
    <t>disgrifiad rhes (Llinellau swm a ddangosir mewn print trwm)</t>
  </si>
  <si>
    <t>value</t>
  </si>
  <si>
    <t>prisio</t>
  </si>
  <si>
    <t>deipio</t>
  </si>
  <si>
    <t>awto</t>
  </si>
  <si>
    <t>marcio</t>
  </si>
  <si>
    <t>wirio</t>
  </si>
  <si>
    <t>statws</t>
  </si>
  <si>
    <t>ein sylwadau</t>
  </si>
  <si>
    <t>arwydd gan</t>
  </si>
  <si>
    <t>dyddiad</t>
  </si>
  <si>
    <t>gwahaniaeth</t>
  </si>
  <si>
    <t>sero?</t>
  </si>
  <si>
    <t>Please follow the instructions below when completing this page:</t>
  </si>
  <si>
    <t>Dilynwch y cyfarwyddiadau isod wrth lenwi'r dudalen hon:</t>
  </si>
  <si>
    <t>Bilingual text for BR2 sheet</t>
  </si>
  <si>
    <t>Bilingual text for text boxes on BR2 page</t>
  </si>
  <si>
    <t>LGFS.Transfer@gov.wales</t>
  </si>
  <si>
    <t>Your comments</t>
  </si>
  <si>
    <t>Our comments</t>
  </si>
  <si>
    <t>Eich sylwadau</t>
  </si>
  <si>
    <t>signed by</t>
  </si>
  <si>
    <t>Arithmetic Checks</t>
  </si>
  <si>
    <t>Gwiriadau Rhifyddol</t>
  </si>
  <si>
    <t>Bydd unrhyw gyfanswmiau nad sy’n = sero yng ngholofn ‘V’ yn  cael ei farcio yn y golofn ‘Awtomatig’ a’I amlinellu yn goch</t>
  </si>
  <si>
    <t>Ffigyrau blwyddyn-wrth-flwyddyn</t>
  </si>
  <si>
    <t>4. gyfanswmiau nad sy’n = sero</t>
  </si>
  <si>
    <t>4. total not = zero</t>
  </si>
  <si>
    <t>After completing the form - check any flagged figures (marked ‘1’ in the ‘Auto’ column) that are either outside tolerance (&gt;5%) or not equal to zero (see ‘Arithmetic Checks’ section)</t>
  </si>
  <si>
    <t xml:space="preserve">Ar ôl cwblhau’r ffurflen - gwiriwch unrhyw ffigurau sydd gyda fflag eu bod tu hwnt i’r goddefiant (&gt;5%) neu ddim yn hafal i sero wedi'i farcio '1' yn y golofn 'Awtomatig'(gweler yr adran ‘Gwiriadau Rhifyddol’). </t>
  </si>
  <si>
    <t>Cymraeg / Welsh</t>
  </si>
  <si>
    <t>CT1, part E, line 26, col. 11</t>
  </si>
  <si>
    <t>tolerance:</t>
  </si>
  <si>
    <t>goddefiant:</t>
  </si>
  <si>
    <t>Bydd unrhyw eitem sydd wedi'i glirio wedi’i marcio 'C' yn y golofn 'Statws' (Colofn AA).</t>
  </si>
  <si>
    <t>Any cleared item swill be marked 'C' in the 'Status' column (column AA).</t>
  </si>
  <si>
    <t>SQL</t>
  </si>
  <si>
    <t>Check the BR2 input figures against this spreadsheet:</t>
  </si>
  <si>
    <t>P:\stats\sd3\Formsandletters\1_RevenueForms\1.6  Council Tax Levels (BR1, BR2)\201920\Final police settlement + CT1 L.26 by LA 2019-20</t>
  </si>
  <si>
    <t>cyfanswm / expenditure 
COR 1-2, 
column 9</t>
  </si>
  <si>
    <t>cyfanswm / capital expenditure</t>
  </si>
  <si>
    <t>cyfanswm / receipts 
COR 1-2, 
column 13</t>
  </si>
  <si>
    <t>cyfanswm / capital receipts</t>
  </si>
  <si>
    <t>642105</t>
  </si>
  <si>
    <t>Helen Williams</t>
  </si>
  <si>
    <t>804401 / 804831</t>
  </si>
  <si>
    <t>Helen.Williams@nthwales.pnn.police.uk; guto.edwards@nthwales.pnn.police.uk</t>
  </si>
  <si>
    <t>https://gov.wales/police-settlement-final-2020-2021</t>
  </si>
  <si>
    <t>D P</t>
  </si>
  <si>
    <t>N W</t>
  </si>
  <si>
    <t>S W</t>
  </si>
  <si>
    <t xml:space="preserve">Year: </t>
  </si>
  <si>
    <t>Line 18 Col. 3 minus line 7</t>
  </si>
  <si>
    <t xml:space="preserve">Line 18 Col. 4 minus line 6 </t>
  </si>
  <si>
    <t>llinell 18, colofn 3 minws llinell 7</t>
  </si>
  <si>
    <t>llinell 18, colofn 4 minws llinell 6</t>
  </si>
  <si>
    <t>Cells J18, J19 and J20 above come from the Local Government Police Settlement, they must be repeated in cells G18, G19 and G20 which is why those cells are locked.</t>
  </si>
  <si>
    <t>Daw celloedd J18, J19 a J20 uchod oddi wrth y Setliad yr Heddlu Lywodraeth Leol, rhaid eu hailadrodd yng nghelloedd G18, G19 a G20, a dyna pam mae'r celloedd hynny wedi'u cloi.</t>
  </si>
  <si>
    <t>Dates</t>
  </si>
  <si>
    <t xml:space="preserve">The form must be completed by </t>
  </si>
  <si>
    <t xml:space="preserve"> and sent to the Welsh Government by </t>
  </si>
  <si>
    <t>An electronic copy of the spreadsheet, preferably with an image of the CFO signature and date added.</t>
  </si>
  <si>
    <t>Or an electronic copy and a separate, signed copy (preferably as a PDF, or a hard copy by post).</t>
  </si>
  <si>
    <t>N.B. The signed copy figures must match the electronic copy. We’ll need another signed copy if they don’t.</t>
  </si>
  <si>
    <t>Copi electronig o'r daenlen, yn ddelfrydol gyda delwedd o lofnod y PSC a'r dyddiad wedi'u hychwanegu.</t>
  </si>
  <si>
    <t>Neu gopi electronig a chopi ar wahân wedi'i lofnodi (fel PDF yn ddelfrydol, neu gopi caled trwy'r post).</t>
  </si>
  <si>
    <t>Noder. Rhaid i'r ffigurau ar y copi wedi'i lofnodi cyd-fynd â'r copi electronig. Bydd angen copi arall wedi'i lofnodi arnom os nad ydyn nhw.</t>
  </si>
  <si>
    <t xml:space="preserve">Rhaid llenwi'r ffurflen erbyn </t>
  </si>
  <si>
    <t xml:space="preserve"> a'i hanfon at Lywodraeth Cymru erbyn </t>
  </si>
  <si>
    <t xml:space="preserve">The latest date for return is </t>
  </si>
  <si>
    <t xml:space="preserve">Y dyddiad hwyraf ar gyfer dychwelyd yw </t>
  </si>
  <si>
    <t>Version</t>
  </si>
  <si>
    <t>tblCurrent</t>
  </si>
  <si>
    <t>Matthew Coe</t>
  </si>
  <si>
    <t>Matthew.coe@gwent.police.uk; HarPing.Boey@gwent.police.uk</t>
  </si>
  <si>
    <t>Peter Curran</t>
  </si>
  <si>
    <t>Neil Scourfield</t>
  </si>
  <si>
    <t>Neil.Scourfield@south-wales.police.uk</t>
  </si>
  <si>
    <t>Input / Output</t>
  </si>
  <si>
    <t>Protect and hide page?</t>
  </si>
  <si>
    <t>Updated</t>
  </si>
  <si>
    <t>Page</t>
  </si>
  <si>
    <t>Type (?)</t>
  </si>
  <si>
    <t>Action</t>
  </si>
  <si>
    <t>Range name</t>
  </si>
  <si>
    <t>Range</t>
  </si>
  <si>
    <t>By</t>
  </si>
  <si>
    <t>Date Updated</t>
  </si>
  <si>
    <t>Details</t>
  </si>
  <si>
    <t>active</t>
  </si>
  <si>
    <t>update</t>
  </si>
  <si>
    <t>year</t>
  </si>
  <si>
    <t>FK</t>
  </si>
  <si>
    <t>return date</t>
  </si>
  <si>
    <t>G5</t>
  </si>
  <si>
    <t>passive</t>
  </si>
  <si>
    <t>E12</t>
  </si>
  <si>
    <t>Text Box</t>
  </si>
  <si>
    <t>Transfer</t>
  </si>
  <si>
    <t>Text</t>
  </si>
  <si>
    <t>Translate</t>
  </si>
  <si>
    <t>ValData</t>
  </si>
  <si>
    <t>869293</t>
  </si>
  <si>
    <t>B7:M11</t>
  </si>
  <si>
    <t>LGF</t>
  </si>
  <si>
    <t>B37:G42</t>
  </si>
  <si>
    <t>J2</t>
  </si>
  <si>
    <t>CT1 Pivot</t>
  </si>
  <si>
    <t>H36:J62</t>
  </si>
  <si>
    <t>Links</t>
  </si>
  <si>
    <t>D12:E12</t>
  </si>
  <si>
    <t>J17:K40</t>
  </si>
  <si>
    <t>Linedata</t>
  </si>
  <si>
    <t>C17:AA37</t>
  </si>
  <si>
    <t>AD3:AJ67</t>
  </si>
  <si>
    <t>tblcurrent</t>
  </si>
  <si>
    <t>M2:X33</t>
  </si>
  <si>
    <t>Police Grant (table 3)</t>
  </si>
  <si>
    <t>Ian Williams, Nicola Davies</t>
  </si>
  <si>
    <t>ian.williams@dyfed-powys.police.uk; Nicola.davies@Dyfed-powys.police.uk</t>
  </si>
  <si>
    <t>DataIn (ValData)</t>
  </si>
  <si>
    <t>Query from Contacts DB - Query for BR2 form</t>
  </si>
  <si>
    <t/>
  </si>
  <si>
    <t>updated 24/01/24  fk</t>
  </si>
  <si>
    <t>Yr Heddlu yn unig</t>
  </si>
  <si>
    <t>Dedicated security posts (Police Authorities only)</t>
  </si>
  <si>
    <t>Swyddi diogelwch dynodedig (Awdurdodau'r Heddlu yn unig)</t>
  </si>
  <si>
    <t>National police coordination centre (Police Authorities only)</t>
  </si>
  <si>
    <t>National Parks' grant (National Park Authorities only)</t>
  </si>
  <si>
    <t>National Parks' revenue grant (National Park Authorities only)</t>
  </si>
  <si>
    <t>Grant refeniw Parciau Cenedlaethol (Awdurdodau Parciau Cenedlaethol yn unig)</t>
  </si>
  <si>
    <t>Canolfan gydgysylltu genedlaethol yr heddlu (Awdurdodau'r Heddlu yn unig)</t>
  </si>
  <si>
    <t>Gwasanaethau Heddlu</t>
  </si>
  <si>
    <t>Police Authority precept</t>
  </si>
  <si>
    <t>Dedicated security posts (Police only)</t>
  </si>
  <si>
    <t>Swyddi diogelwch dynodedig (yr Heddlu yn unig)</t>
  </si>
  <si>
    <t>https://www.gov.wales/police-settlement-2024-2025</t>
  </si>
  <si>
    <t>Worksheet 2: Police funding for 2024-25, Key Information (£ million)</t>
  </si>
  <si>
    <t>This worksheet contains one table.</t>
  </si>
  <si>
    <t>Some cells refer to notes which can be found on the notes worksheet.</t>
  </si>
  <si>
    <t>Distributable Non Domestic Rates
[note 1] [note 4]</t>
  </si>
  <si>
    <t>Revenue Support Grant
[note 1] [note 4]</t>
  </si>
  <si>
    <t>Total Standard Spending Assessment
[note 1]</t>
  </si>
  <si>
    <t>2019-20</t>
  </si>
  <si>
    <t>2020-21</t>
  </si>
  <si>
    <t>2021-22</t>
  </si>
  <si>
    <t>2022-23</t>
  </si>
  <si>
    <t>2023-24</t>
  </si>
  <si>
    <t>2024-25</t>
  </si>
  <si>
    <t>Dyfed-Powys</t>
  </si>
  <si>
    <t xml:space="preserve">Total </t>
  </si>
  <si>
    <t>Table 1c: Police Grant and Floor Funding (£ million)</t>
  </si>
  <si>
    <t>Provisional</t>
  </si>
  <si>
    <t>Pivot from CT1  E5</t>
  </si>
  <si>
    <t>https://gov.wales/police-settlement-provisional-2023-2024</t>
  </si>
  <si>
    <t>from CT1 DB, delete later, 27.2.24 FK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</si>
</sst>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43" formatCode="_-* #,##0.00_-;\-* #,##0.00_-;_-* &quot;-&quot;??_-;_-@_-"/>
    <numFmt numFmtId="164" formatCode="&quot;£&quot;#,##0"/>
    <numFmt numFmtId="165" formatCode="#,##0_ ;[Red]\-#,##0\ "/>
    <numFmt numFmtId="166" formatCode="0.0000"/>
    <numFmt numFmtId="167" formatCode="#,##0.00_ ;[Red]\-#,##0.00\ "/>
    <numFmt numFmtId="168" formatCode="_-* #,##0_-;\-* #,##0_-;_-* &quot;-&quot;??_-;_-@_-"/>
    <numFmt numFmtId="169" formatCode="#,##0.000"/>
    <numFmt numFmtId="170" formatCode="d\ mmmm\ yyyy"/>
    <numFmt numFmtId="171" formatCode="[$-809]dd\ mmmm\ yyyy;@"/>
    <numFmt numFmtId="172" formatCode="#,##0.000_ ;[Red]\-#,##0.000\ "/>
    <numFmt numFmtId="173" formatCode="dd/mm/yy;@"/>
    <numFmt numFmtId="174" formatCode="0.0"/>
    <numFmt numFmtId="175" formatCode="#,##0.000000_ ;[Red]\-#,##0.000000\ "/>
  </numFmts>
  <fonts count="86">
    <font>
      <sz val="12"/>
      <name val="Arial"/>
    </font>
    <font>
      <sz val="12"/>
      <name val="Arial"/>
      <family val="2"/>
    </font>
    <font>
      <b/>
      <sz val="10"/>
      <name val="Arial"/>
      <family val="2"/>
    </font>
    <font>
      <sz val="10"/>
      <name val="Arial"/>
      <family val="2"/>
    </font>
    <font>
      <sz val="11"/>
      <name val="Arial"/>
      <family val="2"/>
    </font>
    <font>
      <b/>
      <sz val="12"/>
      <name val="Arial"/>
      <family val="2"/>
    </font>
    <font>
      <sz val="10"/>
      <color indexed="8"/>
      <name val="MS Sans Serif"/>
      <family val="2"/>
    </font>
    <font>
      <sz val="10"/>
      <color indexed="9"/>
      <name val="Arial"/>
      <family val="2"/>
    </font>
    <font>
      <sz val="8"/>
      <name val="Arial"/>
      <family val="2"/>
    </font>
    <font>
      <b/>
      <sz val="12"/>
      <color indexed="62"/>
      <name val="Arial"/>
      <family val="2"/>
    </font>
    <font>
      <b/>
      <sz val="11"/>
      <name val="Arial"/>
      <family val="2"/>
    </font>
    <font>
      <u/>
      <sz val="6"/>
      <color indexed="12"/>
      <name val="Arial"/>
      <family val="2"/>
    </font>
    <font>
      <sz val="10"/>
      <color indexed="8"/>
      <name val="Arial"/>
      <family val="2"/>
    </font>
    <font>
      <sz val="12"/>
      <color indexed="8"/>
      <name val="Arial"/>
      <family val="2"/>
    </font>
    <font>
      <sz val="10"/>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0"/>
      <name val="Wingdings"/>
      <charset val="2"/>
    </font>
    <font>
      <sz val="10"/>
      <color indexed="10"/>
      <name val="Arial"/>
      <family val="2"/>
    </font>
    <font>
      <b/>
      <sz val="10"/>
      <color indexed="18"/>
      <name val="Arial"/>
      <family val="2"/>
    </font>
    <font>
      <b/>
      <sz val="8"/>
      <name val="Arial"/>
      <family val="2"/>
    </font>
    <font>
      <b/>
      <u val="singleAccounting"/>
      <sz val="8"/>
      <name val="Arial"/>
      <family val="2"/>
    </font>
    <font>
      <u/>
      <sz val="12"/>
      <color indexed="12"/>
      <name val="Arial"/>
      <family val="2"/>
    </font>
    <font>
      <sz val="12"/>
      <name val="Times New Roman"/>
      <family val="1"/>
    </font>
    <font>
      <sz val="20"/>
      <name val="Arial"/>
      <family val="2"/>
    </font>
    <font>
      <u/>
      <sz val="9"/>
      <color indexed="12"/>
      <name val="Arial"/>
      <family val="2"/>
    </font>
    <font>
      <sz val="9"/>
      <name val="Arial"/>
      <family val="2"/>
    </font>
    <font>
      <b/>
      <sz val="9"/>
      <name val="Arial"/>
      <family val="2"/>
    </font>
    <font>
      <b/>
      <sz val="14"/>
      <name val="Arial"/>
      <family val="2"/>
    </font>
    <font>
      <i/>
      <sz val="11"/>
      <name val="Arial"/>
      <family val="2"/>
    </font>
    <font>
      <sz val="10"/>
      <name val="Arial"/>
      <family val="2"/>
    </font>
    <font>
      <sz val="10"/>
      <name val="Arial"/>
      <family val="2"/>
    </font>
    <font>
      <u/>
      <sz val="10"/>
      <color indexed="12"/>
      <name val="Arial"/>
      <family val="2"/>
    </font>
    <font>
      <sz val="16"/>
      <name val="Arial"/>
      <family val="2"/>
    </font>
    <font>
      <b/>
      <i/>
      <sz val="8"/>
      <name val="Arial"/>
      <family val="2"/>
    </font>
    <font>
      <sz val="11"/>
      <color indexed="23"/>
      <name val="Arial"/>
      <family val="2"/>
    </font>
    <font>
      <sz val="10"/>
      <name val="Arial"/>
      <family val="2"/>
    </font>
    <font>
      <b/>
      <sz val="12"/>
      <color indexed="18"/>
      <name val="Arial"/>
      <family val="2"/>
    </font>
    <font>
      <u/>
      <sz val="8"/>
      <color rgb="FF7030A0"/>
      <name val="Arial"/>
      <family val="2"/>
    </font>
    <font>
      <sz val="12"/>
      <color rgb="FF00B0F0"/>
      <name val="Arial"/>
      <family val="2"/>
    </font>
    <font>
      <sz val="10"/>
      <color theme="1"/>
      <name val="Arial"/>
      <family val="2"/>
    </font>
    <font>
      <sz val="10"/>
      <color rgb="FFFF0000"/>
      <name val="Arial"/>
      <family val="2"/>
    </font>
    <font>
      <sz val="10"/>
      <color rgb="FF000000"/>
      <name val="Arial"/>
      <family val="2"/>
    </font>
    <font>
      <b/>
      <sz val="12"/>
      <color theme="3" tint="0.39997558519241921"/>
      <name val="Arial"/>
      <family val="2"/>
    </font>
    <font>
      <b/>
      <sz val="16"/>
      <color theme="3" tint="0.39997558519241921"/>
      <name val="Arial"/>
      <family val="2"/>
    </font>
    <font>
      <b/>
      <sz val="10"/>
      <color theme="3" tint="0.39997558519241921"/>
      <name val="Arial"/>
      <family val="2"/>
    </font>
    <font>
      <sz val="10"/>
      <color rgb="FFCCFFFF"/>
      <name val="Arial"/>
      <family val="2"/>
    </font>
    <font>
      <b/>
      <sz val="8"/>
      <color rgb="FF7030A0"/>
      <name val="Arial"/>
      <family val="2"/>
    </font>
    <font>
      <b/>
      <sz val="10"/>
      <color rgb="FFFF0000"/>
      <name val="Arial"/>
      <family val="2"/>
    </font>
    <font>
      <b/>
      <sz val="12"/>
      <color rgb="FF0000FF"/>
      <name val="Arial"/>
      <family val="2"/>
    </font>
    <font>
      <b/>
      <sz val="8"/>
      <color rgb="FF0000FF"/>
      <name val="Arial"/>
      <family val="2"/>
    </font>
    <font>
      <u/>
      <sz val="12"/>
      <color rgb="FF7030A0"/>
      <name val="Arial"/>
      <family val="2"/>
    </font>
    <font>
      <u/>
      <sz val="10"/>
      <color rgb="FF0000FF"/>
      <name val="Arial"/>
      <family val="2"/>
    </font>
    <font>
      <b/>
      <sz val="11"/>
      <color rgb="FF7030A0"/>
      <name val="Arial"/>
      <family val="2"/>
    </font>
    <font>
      <b/>
      <sz val="12"/>
      <color rgb="FFFF0000"/>
      <name val="Arial"/>
      <family val="2"/>
    </font>
    <font>
      <sz val="10"/>
      <color indexed="81"/>
      <name val="Arial"/>
      <family val="2"/>
    </font>
    <font>
      <sz val="12"/>
      <color rgb="FF0000FF"/>
      <name val="Arial"/>
      <family val="2"/>
    </font>
    <font>
      <sz val="10"/>
      <color rgb="FF7030A0"/>
      <name val="Arial"/>
      <family val="2"/>
    </font>
    <font>
      <sz val="14"/>
      <name val="Arial"/>
      <family val="2"/>
    </font>
    <font>
      <sz val="10"/>
      <name val="Arial"/>
      <family val="2"/>
    </font>
    <font>
      <u/>
      <sz val="11"/>
      <color indexed="12"/>
      <name val="Arial"/>
      <family val="2"/>
    </font>
    <font>
      <sz val="8"/>
      <color rgb="FF0000FF"/>
      <name val="Arial"/>
      <family val="2"/>
    </font>
    <font>
      <sz val="10"/>
      <color theme="1"/>
      <name val="Arial"/>
      <family val="2"/>
    </font>
    <font>
      <b/>
      <sz val="11"/>
      <color indexed="18"/>
      <name val="Arial"/>
      <family val="2"/>
    </font>
    <font>
      <b/>
      <sz val="11"/>
      <color indexed="62"/>
      <name val="Arial"/>
      <family val="2"/>
    </font>
    <font>
      <sz val="12"/>
      <color indexed="81"/>
      <name val="Arial"/>
      <family val="2"/>
    </font>
    <font>
      <b/>
      <sz val="12"/>
      <color theme="1"/>
      <name val="Arial"/>
      <family val="2"/>
    </font>
    <font>
      <b/>
      <sz val="12"/>
      <color rgb="FF7030A0"/>
      <name val="Arial"/>
      <family val="2"/>
    </font>
    <font>
      <sz val="9"/>
      <color indexed="81"/>
      <name val="Tahoma"/>
      <charset val="1"/>
    </font>
    <font>
      <sz val="10"/>
      <name val="Arial"/>
    </font>
    <font>
      <sz val="11"/>
      <name val="Calibri"/>
      <family val="2"/>
    </font>
  </fonts>
  <fills count="38">
    <fill>
      <patternFill patternType="none"/>
    </fill>
    <fill>
      <patternFill patternType="gray125"/>
    </fill>
    <fill>
      <patternFill patternType="solid">
        <fgColor indexed="22"/>
      </patternFill>
    </fill>
    <fill>
      <patternFill patternType="solid">
        <fgColor indexed="47"/>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9"/>
      </patternFill>
    </fill>
    <fill>
      <patternFill patternType="solid">
        <fgColor indexed="55"/>
      </patternFill>
    </fill>
    <fill>
      <patternFill patternType="solid">
        <fgColor indexed="42"/>
      </patternFill>
    </fill>
    <fill>
      <patternFill patternType="solid">
        <fgColor indexed="23"/>
        <bgColor indexed="64"/>
      </patternFill>
    </fill>
    <fill>
      <patternFill patternType="solid">
        <fgColor indexed="44"/>
        <bgColor indexed="64"/>
      </patternFill>
    </fill>
    <fill>
      <patternFill patternType="solid">
        <fgColor theme="0" tint="-0.14999847407452621"/>
        <bgColor indexed="64"/>
      </patternFill>
    </fill>
    <fill>
      <patternFill patternType="solid">
        <fgColor rgb="FFFFC000"/>
        <bgColor indexed="64"/>
      </patternFill>
    </fill>
    <fill>
      <patternFill patternType="solid">
        <fgColor theme="5" tint="0.59999389629810485"/>
        <bgColor indexed="64"/>
      </patternFill>
    </fill>
    <fill>
      <patternFill patternType="solid">
        <fgColor rgb="FF99CCFF"/>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0"/>
        <bgColor indexed="64"/>
      </patternFill>
    </fill>
    <fill>
      <patternFill patternType="solid">
        <fgColor rgb="FFFFFFCC"/>
        <bgColor indexed="64"/>
      </patternFill>
    </fill>
    <fill>
      <patternFill patternType="solid">
        <fgColor rgb="FFFFFF00"/>
        <bgColor indexed="64"/>
      </patternFill>
    </fill>
    <fill>
      <patternFill patternType="solid">
        <fgColor theme="7" tint="0.59999389629810485"/>
        <bgColor indexed="64"/>
      </patternFill>
    </fill>
    <fill>
      <patternFill patternType="solid">
        <fgColor rgb="FF99FF99"/>
        <bgColor indexed="64"/>
      </patternFill>
    </fill>
    <fill>
      <patternFill patternType="solid">
        <fgColor rgb="FFCCFFFF"/>
        <bgColor indexed="64"/>
      </patternFill>
    </fill>
    <fill>
      <patternFill patternType="solid">
        <fgColor rgb="FF7030A0"/>
        <bgColor indexed="64"/>
      </patternFill>
    </fill>
    <fill>
      <patternFill patternType="solid">
        <fgColor rgb="FFE5F5FF"/>
        <bgColor indexed="64"/>
      </patternFill>
    </fill>
    <fill>
      <patternFill patternType="solid">
        <fgColor indexed="46"/>
        <bgColor indexed="64"/>
      </patternFill>
    </fill>
    <fill>
      <patternFill patternType="solid">
        <fgColor indexed="42"/>
        <bgColor indexed="64"/>
      </patternFill>
    </fill>
    <fill>
      <patternFill patternType="solid">
        <fgColor rgb="FFFFCC99"/>
        <bgColor indexed="64"/>
      </patternFill>
    </fill>
    <fill>
      <patternFill patternType="solid">
        <fgColor rgb="FFFFFF99"/>
        <bgColor indexed="64"/>
      </patternFill>
    </fill>
    <fill>
      <patternFill patternType="solid">
        <fgColor theme="0" tint="-4.9989318521683403E-2"/>
        <bgColor indexed="64"/>
      </patternFill>
    </fill>
    <fill>
      <patternFill patternType="solid">
        <fgColor rgb="FFCCFFCC"/>
        <bgColor indexed="64"/>
      </patternFill>
    </fill>
  </fills>
  <borders count="56">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22"/>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18"/>
      </left>
      <right/>
      <top/>
      <bottom/>
      <diagonal/>
    </border>
    <border>
      <left/>
      <right style="thin">
        <color indexed="18"/>
      </right>
      <top/>
      <bottom/>
      <diagonal/>
    </border>
    <border>
      <left style="thin">
        <color indexed="64"/>
      </left>
      <right style="thin">
        <color indexed="64"/>
      </right>
      <top style="thin">
        <color indexed="64"/>
      </top>
      <bottom style="thin">
        <color indexed="64"/>
      </bottom>
      <diagonal/>
    </border>
    <border>
      <left style="thin">
        <color indexed="18"/>
      </left>
      <right/>
      <top/>
      <bottom style="thin">
        <color indexed="18"/>
      </bottom>
      <diagonal/>
    </border>
    <border>
      <left/>
      <right/>
      <top/>
      <bottom style="thin">
        <color indexed="18"/>
      </bottom>
      <diagonal/>
    </border>
    <border>
      <left/>
      <right style="thin">
        <color indexed="18"/>
      </right>
      <top/>
      <bottom style="thin">
        <color indexed="18"/>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right/>
      <top style="thin">
        <color indexed="18"/>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right/>
      <top style="thin">
        <color indexed="18"/>
      </top>
      <bottom style="thin">
        <color indexed="64"/>
      </bottom>
      <diagonal/>
    </border>
    <border>
      <left/>
      <right style="thin">
        <color indexed="18"/>
      </right>
      <top style="thin">
        <color indexed="18"/>
      </top>
      <bottom style="thin">
        <color indexed="64"/>
      </bottom>
      <diagonal/>
    </border>
    <border>
      <left style="thin">
        <color indexed="18"/>
      </left>
      <right/>
      <top style="thin">
        <color indexed="18"/>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rgb="FF000080"/>
      </top>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rgb="FFABABAB"/>
      </left>
      <right/>
      <top style="thin">
        <color rgb="FFABABAB"/>
      </top>
      <bottom/>
      <diagonal/>
    </border>
    <border>
      <left style="thin">
        <color indexed="65"/>
      </left>
      <right/>
      <top style="thin">
        <color rgb="FFABABAB"/>
      </top>
      <bottom/>
      <diagonal/>
    </border>
    <border>
      <left style="thin">
        <color rgb="FFABABAB"/>
      </left>
      <right style="thin">
        <color rgb="FFABABAB"/>
      </right>
      <top style="thin">
        <color rgb="FFABABAB"/>
      </top>
      <bottom/>
      <diagonal/>
    </border>
    <border>
      <left style="thin">
        <color rgb="FFABABAB"/>
      </left>
      <right/>
      <top style="thin">
        <color rgb="FFABABAB"/>
      </top>
      <bottom style="thin">
        <color rgb="FFABABAB"/>
      </bottom>
      <diagonal/>
    </border>
    <border>
      <left style="thin">
        <color rgb="FFABABAB"/>
      </left>
      <right style="thin">
        <color rgb="FFABABAB"/>
      </right>
      <top style="thin">
        <color rgb="FFABABAB"/>
      </top>
      <bottom style="thin">
        <color rgb="FFABABAB"/>
      </bottom>
      <diagonal/>
    </border>
    <border>
      <left/>
      <right style="thin">
        <color rgb="FFABABAB"/>
      </right>
      <top/>
      <bottom style="thin">
        <color indexed="64"/>
      </bottom>
      <diagonal/>
    </border>
    <border>
      <left style="thin">
        <color indexed="64"/>
      </left>
      <right style="thin">
        <color rgb="FFABABAB"/>
      </right>
      <top/>
      <bottom style="thin">
        <color indexed="64"/>
      </bottom>
      <diagonal/>
    </border>
    <border>
      <left/>
      <right/>
      <top style="thin">
        <color rgb="FFABABAB"/>
      </top>
      <bottom/>
      <diagonal/>
    </border>
  </borders>
  <cellStyleXfs count="54">
    <xf numFmtId="0" fontId="0" fillId="0" borderId="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5" borderId="0" applyNumberFormat="0" applyBorder="0" applyAlignment="0" applyProtection="0"/>
    <xf numFmtId="0" fontId="15" fillId="3"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2" borderId="0" applyNumberFormat="0" applyBorder="0" applyAlignment="0" applyProtection="0"/>
    <xf numFmtId="0" fontId="15" fillId="2" borderId="0" applyNumberFormat="0" applyBorder="0" applyAlignment="0" applyProtection="0"/>
    <xf numFmtId="0" fontId="15" fillId="3"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6"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6" borderId="0" applyNumberFormat="0" applyBorder="0" applyAlignment="0" applyProtection="0"/>
    <xf numFmtId="0" fontId="16" fillId="10" borderId="0" applyNumberFormat="0" applyBorder="0" applyAlignment="0" applyProtection="0"/>
    <xf numFmtId="0" fontId="17" fillId="11" borderId="0" applyNumberFormat="0" applyBorder="0" applyAlignment="0" applyProtection="0"/>
    <xf numFmtId="0" fontId="18" fillId="12" borderId="1" applyNumberFormat="0" applyAlignment="0" applyProtection="0"/>
    <xf numFmtId="0" fontId="19" fillId="13" borderId="2" applyNumberFormat="0" applyAlignment="0" applyProtection="0"/>
    <xf numFmtId="43" fontId="1" fillId="0" borderId="0" applyFont="0" applyFill="0" applyBorder="0" applyAlignment="0" applyProtection="0"/>
    <xf numFmtId="0" fontId="20" fillId="0" borderId="0" applyNumberFormat="0" applyFill="0" applyBorder="0" applyAlignment="0" applyProtection="0"/>
    <xf numFmtId="0" fontId="21" fillId="1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11"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25" fillId="3" borderId="1" applyNumberFormat="0" applyAlignment="0" applyProtection="0"/>
    <xf numFmtId="0" fontId="26" fillId="0" borderId="6" applyNumberFormat="0" applyFill="0" applyAlignment="0" applyProtection="0"/>
    <xf numFmtId="0" fontId="27" fillId="3" borderId="0" applyNumberFormat="0" applyBorder="0" applyAlignment="0" applyProtection="0"/>
    <xf numFmtId="0" fontId="38" fillId="0" borderId="0"/>
    <xf numFmtId="0" fontId="1" fillId="0" borderId="0"/>
    <xf numFmtId="0" fontId="6" fillId="0" borderId="0"/>
    <xf numFmtId="0" fontId="1" fillId="0" borderId="0"/>
    <xf numFmtId="0" fontId="1" fillId="0" borderId="0"/>
    <xf numFmtId="0" fontId="14" fillId="0" borderId="0"/>
    <xf numFmtId="0" fontId="1" fillId="0" borderId="0"/>
    <xf numFmtId="0" fontId="3" fillId="0" borderId="0"/>
    <xf numFmtId="0" fontId="3" fillId="4" borderId="7" applyNumberFormat="0" applyFont="0" applyAlignment="0" applyProtection="0"/>
    <xf numFmtId="0" fontId="28" fillId="1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31" fillId="0" borderId="0" applyNumberFormat="0" applyFill="0" applyBorder="0" applyAlignment="0" applyProtection="0"/>
    <xf numFmtId="0" fontId="12" fillId="0" borderId="0"/>
  </cellStyleXfs>
  <cellXfs count="709">
    <xf numFmtId="0" fontId="0" fillId="0" borderId="0" xfId="0"/>
    <xf numFmtId="0" fontId="3" fillId="0" borderId="0" xfId="0" applyFont="1"/>
    <xf numFmtId="0" fontId="8" fillId="0" borderId="0" xfId="0" applyFont="1"/>
    <xf numFmtId="1" fontId="8" fillId="0" borderId="0" xfId="0" applyNumberFormat="1" applyFont="1"/>
    <xf numFmtId="3" fontId="8" fillId="0" borderId="0" xfId="0" applyNumberFormat="1" applyFont="1"/>
    <xf numFmtId="0" fontId="8" fillId="0" borderId="0" xfId="0" applyFont="1" applyAlignment="1">
      <alignment vertical="top"/>
    </xf>
    <xf numFmtId="3" fontId="8" fillId="0" borderId="0" xfId="43" applyNumberFormat="1" applyFont="1"/>
    <xf numFmtId="168" fontId="8" fillId="0" borderId="0" xfId="28" applyNumberFormat="1" applyFont="1" applyFill="1" applyBorder="1"/>
    <xf numFmtId="0" fontId="8" fillId="0" borderId="0" xfId="0" applyFont="1" applyAlignment="1">
      <alignment horizontal="right"/>
    </xf>
    <xf numFmtId="168" fontId="8" fillId="0" borderId="0" xfId="0" applyNumberFormat="1" applyFont="1" applyAlignment="1">
      <alignment horizontal="right"/>
    </xf>
    <xf numFmtId="0" fontId="1" fillId="0" borderId="0" xfId="0" applyFont="1"/>
    <xf numFmtId="0" fontId="35" fillId="0" borderId="0" xfId="0" applyFont="1" applyAlignment="1">
      <alignment horizontal="center"/>
    </xf>
    <xf numFmtId="168" fontId="36" fillId="0" borderId="0" xfId="0" applyNumberFormat="1" applyFont="1"/>
    <xf numFmtId="0" fontId="53" fillId="0" borderId="0" xfId="0" applyFont="1" applyAlignment="1">
      <alignment horizontal="left"/>
    </xf>
    <xf numFmtId="0" fontId="35" fillId="0" borderId="0" xfId="0" applyFont="1"/>
    <xf numFmtId="0" fontId="35" fillId="17" borderId="0" xfId="0" applyFont="1" applyFill="1"/>
    <xf numFmtId="0" fontId="35" fillId="18" borderId="0" xfId="0" applyFont="1" applyFill="1"/>
    <xf numFmtId="0" fontId="8" fillId="18" borderId="0" xfId="0" applyFont="1" applyFill="1"/>
    <xf numFmtId="0" fontId="8" fillId="17" borderId="0" xfId="0" applyFont="1" applyFill="1"/>
    <xf numFmtId="0" fontId="8" fillId="0" borderId="0" xfId="45" applyFont="1" applyAlignment="1">
      <alignment wrapText="1"/>
    </xf>
    <xf numFmtId="165" fontId="8" fillId="0" borderId="0" xfId="0" applyNumberFormat="1" applyFont="1"/>
    <xf numFmtId="0" fontId="0" fillId="0" borderId="0" xfId="0" applyProtection="1">
      <protection locked="0"/>
    </xf>
    <xf numFmtId="0" fontId="3" fillId="15" borderId="11" xfId="0" applyFont="1" applyFill="1" applyBorder="1"/>
    <xf numFmtId="0" fontId="9" fillId="15" borderId="0" xfId="0" applyFont="1" applyFill="1" applyAlignment="1">
      <alignment horizontal="left"/>
    </xf>
    <xf numFmtId="0" fontId="2" fillId="15" borderId="0" xfId="0" applyFont="1" applyFill="1" applyAlignment="1">
      <alignment horizontal="left"/>
    </xf>
    <xf numFmtId="0" fontId="3" fillId="15" borderId="0" xfId="0" applyFont="1" applyFill="1"/>
    <xf numFmtId="0" fontId="33" fillId="15" borderId="12" xfId="0" applyFont="1" applyFill="1" applyBorder="1"/>
    <xf numFmtId="0" fontId="9" fillId="15" borderId="0" xfId="0" applyFont="1" applyFill="1" applyAlignment="1">
      <alignment horizontal="right" vertical="center"/>
    </xf>
    <xf numFmtId="0" fontId="3" fillId="15" borderId="12" xfId="0" applyFont="1" applyFill="1" applyBorder="1"/>
    <xf numFmtId="0" fontId="4" fillId="15" borderId="0" xfId="0" applyFont="1" applyFill="1" applyAlignment="1">
      <alignment horizontal="left"/>
    </xf>
    <xf numFmtId="0" fontId="34" fillId="15" borderId="12" xfId="0" quotePrefix="1" applyFont="1" applyFill="1" applyBorder="1" applyAlignment="1">
      <alignment horizontal="center"/>
    </xf>
    <xf numFmtId="0" fontId="3" fillId="15" borderId="11" xfId="0" applyFont="1" applyFill="1" applyBorder="1" applyAlignment="1">
      <alignment vertical="center"/>
    </xf>
    <xf numFmtId="0" fontId="34" fillId="15" borderId="0" xfId="0" quotePrefix="1" applyFont="1" applyFill="1" applyAlignment="1">
      <alignment horizontal="center"/>
    </xf>
    <xf numFmtId="3" fontId="3" fillId="15" borderId="12" xfId="0" applyNumberFormat="1" applyFont="1" applyFill="1" applyBorder="1" applyAlignment="1">
      <alignment horizontal="right" vertical="center"/>
    </xf>
    <xf numFmtId="3" fontId="3" fillId="15" borderId="12" xfId="0" quotePrefix="1" applyNumberFormat="1" applyFont="1" applyFill="1" applyBorder="1" applyAlignment="1">
      <alignment horizontal="right" vertical="center" wrapText="1"/>
    </xf>
    <xf numFmtId="3" fontId="3" fillId="15" borderId="12" xfId="0" applyNumberFormat="1" applyFont="1" applyFill="1" applyBorder="1" applyAlignment="1">
      <alignment horizontal="right" vertical="center" wrapText="1"/>
    </xf>
    <xf numFmtId="3" fontId="3" fillId="15" borderId="12" xfId="0" applyNumberFormat="1" applyFont="1" applyFill="1" applyBorder="1" applyAlignment="1">
      <alignment vertical="center" wrapText="1"/>
    </xf>
    <xf numFmtId="0" fontId="2" fillId="15" borderId="0" xfId="0" applyFont="1" applyFill="1" applyAlignment="1">
      <alignment horizontal="center"/>
    </xf>
    <xf numFmtId="4" fontId="3" fillId="15" borderId="12" xfId="0" applyNumberFormat="1" applyFont="1" applyFill="1" applyBorder="1" applyAlignment="1">
      <alignment horizontal="right" vertical="center"/>
    </xf>
    <xf numFmtId="10" fontId="3" fillId="15" borderId="12" xfId="0" applyNumberFormat="1" applyFont="1" applyFill="1" applyBorder="1" applyAlignment="1">
      <alignment horizontal="right" vertical="center"/>
    </xf>
    <xf numFmtId="0" fontId="3" fillId="15" borderId="0" xfId="0" applyFont="1" applyFill="1" applyAlignment="1">
      <alignment wrapText="1"/>
    </xf>
    <xf numFmtId="0" fontId="3" fillId="15" borderId="0" xfId="0" applyFont="1" applyFill="1" applyAlignment="1">
      <alignment horizontal="center" wrapText="1"/>
    </xf>
    <xf numFmtId="4" fontId="2" fillId="15" borderId="0" xfId="0" quotePrefix="1" applyNumberFormat="1" applyFont="1" applyFill="1" applyAlignment="1">
      <alignment horizontal="center" vertical="center" wrapText="1"/>
    </xf>
    <xf numFmtId="4" fontId="2" fillId="15" borderId="0" xfId="0" applyNumberFormat="1" applyFont="1" applyFill="1" applyAlignment="1">
      <alignment horizontal="center" vertical="center" wrapText="1"/>
    </xf>
    <xf numFmtId="0" fontId="12" fillId="15" borderId="11" xfId="0" applyFont="1" applyFill="1" applyBorder="1"/>
    <xf numFmtId="0" fontId="12" fillId="15" borderId="0" xfId="0" applyFont="1" applyFill="1"/>
    <xf numFmtId="1" fontId="12" fillId="15" borderId="0" xfId="0" applyNumberFormat="1" applyFont="1" applyFill="1" applyAlignment="1">
      <alignment horizontal="center" vertical="center" wrapText="1"/>
    </xf>
    <xf numFmtId="0" fontId="12" fillId="15" borderId="0" xfId="0" applyFont="1" applyFill="1" applyAlignment="1">
      <alignment vertical="center" wrapText="1"/>
    </xf>
    <xf numFmtId="4" fontId="12" fillId="15" borderId="0" xfId="0" applyNumberFormat="1" applyFont="1" applyFill="1" applyAlignment="1">
      <alignment vertical="center" wrapText="1"/>
    </xf>
    <xf numFmtId="3" fontId="12" fillId="15" borderId="0" xfId="0" applyNumberFormat="1" applyFont="1" applyFill="1" applyAlignment="1">
      <alignment vertical="center" wrapText="1"/>
    </xf>
    <xf numFmtId="0" fontId="13" fillId="15" borderId="11" xfId="0" applyFont="1" applyFill="1" applyBorder="1"/>
    <xf numFmtId="3" fontId="3" fillId="15" borderId="0" xfId="0" applyNumberFormat="1" applyFont="1" applyFill="1" applyAlignment="1">
      <alignment horizontal="right" vertical="center"/>
    </xf>
    <xf numFmtId="3" fontId="3" fillId="15" borderId="0" xfId="0" applyNumberFormat="1" applyFont="1" applyFill="1" applyAlignment="1">
      <alignment horizontal="left" vertical="center"/>
    </xf>
    <xf numFmtId="0" fontId="3" fillId="15" borderId="0" xfId="0" applyFont="1" applyFill="1" applyAlignment="1">
      <alignment horizontal="left" vertical="top" wrapText="1"/>
    </xf>
    <xf numFmtId="164" fontId="3" fillId="15" borderId="0" xfId="0" applyNumberFormat="1" applyFont="1" applyFill="1" applyAlignment="1">
      <alignment horizontal="right" vertical="center"/>
    </xf>
    <xf numFmtId="0" fontId="3" fillId="15" borderId="0" xfId="0" applyFont="1" applyFill="1" applyAlignment="1">
      <alignment horizontal="left"/>
    </xf>
    <xf numFmtId="0" fontId="3" fillId="15" borderId="0" xfId="0" applyFont="1" applyFill="1" applyAlignment="1">
      <alignment horizontal="right"/>
    </xf>
    <xf numFmtId="0" fontId="3" fillId="15" borderId="14" xfId="0" applyFont="1" applyFill="1" applyBorder="1"/>
    <xf numFmtId="0" fontId="3" fillId="15" borderId="15" xfId="0" applyFont="1" applyFill="1" applyBorder="1" applyAlignment="1">
      <alignment horizontal="right"/>
    </xf>
    <xf numFmtId="0" fontId="3" fillId="15" borderId="15" xfId="0" applyFont="1" applyFill="1" applyBorder="1"/>
    <xf numFmtId="0" fontId="3" fillId="15" borderId="15" xfId="0" applyFont="1" applyFill="1" applyBorder="1" applyAlignment="1">
      <alignment horizontal="left"/>
    </xf>
    <xf numFmtId="0" fontId="3" fillId="15" borderId="16" xfId="0" applyFont="1" applyFill="1" applyBorder="1"/>
    <xf numFmtId="0" fontId="2" fillId="0" borderId="0" xfId="0" applyFont="1" applyAlignment="1">
      <alignment horizontal="right"/>
    </xf>
    <xf numFmtId="3" fontId="3" fillId="0" borderId="0" xfId="0" applyNumberFormat="1" applyFont="1"/>
    <xf numFmtId="0" fontId="2" fillId="0" borderId="0" xfId="41" applyFont="1"/>
    <xf numFmtId="0" fontId="3" fillId="0" borderId="0" xfId="41" applyFont="1"/>
    <xf numFmtId="0" fontId="2" fillId="0" borderId="0" xfId="41" applyFont="1" applyAlignment="1">
      <alignment horizontal="left"/>
    </xf>
    <xf numFmtId="0" fontId="2" fillId="0" borderId="0" xfId="41" applyFont="1" applyAlignment="1">
      <alignment vertical="top"/>
    </xf>
    <xf numFmtId="0" fontId="3" fillId="0" borderId="0" xfId="41" applyFont="1" applyAlignment="1">
      <alignment horizontal="left"/>
    </xf>
    <xf numFmtId="0" fontId="55" fillId="0" borderId="0" xfId="41" applyFont="1" applyAlignment="1">
      <alignment vertical="top" wrapText="1"/>
    </xf>
    <xf numFmtId="0" fontId="3" fillId="0" borderId="0" xfId="41" applyFont="1" applyAlignment="1">
      <alignment vertical="top" wrapText="1"/>
    </xf>
    <xf numFmtId="0" fontId="0" fillId="0" borderId="0" xfId="41" applyFont="1" applyAlignment="1">
      <alignment vertical="top"/>
    </xf>
    <xf numFmtId="0" fontId="56" fillId="0" borderId="0" xfId="41" applyFont="1" applyAlignment="1">
      <alignment vertical="top" wrapText="1"/>
    </xf>
    <xf numFmtId="0" fontId="3" fillId="0" borderId="0" xfId="41" applyFont="1" applyAlignment="1">
      <alignment vertical="top"/>
    </xf>
    <xf numFmtId="0" fontId="3" fillId="0" borderId="0" xfId="41" applyFont="1" applyAlignment="1">
      <alignment wrapText="1"/>
    </xf>
    <xf numFmtId="0" fontId="57" fillId="0" borderId="0" xfId="41" applyFont="1" applyAlignment="1">
      <alignment horizontal="left" vertical="center" readingOrder="1"/>
    </xf>
    <xf numFmtId="0" fontId="3" fillId="0" borderId="0" xfId="0" applyFont="1" applyAlignment="1">
      <alignment vertical="top"/>
    </xf>
    <xf numFmtId="0" fontId="3" fillId="0" borderId="0" xfId="41" quotePrefix="1" applyFont="1" applyAlignment="1">
      <alignment vertical="top" wrapText="1"/>
    </xf>
    <xf numFmtId="0" fontId="3" fillId="0" borderId="0" xfId="0" applyFont="1" applyAlignment="1">
      <alignment wrapText="1"/>
    </xf>
    <xf numFmtId="0" fontId="2" fillId="0" borderId="0" xfId="0" applyFont="1" applyAlignment="1" applyProtection="1">
      <alignment horizontal="left" vertical="top"/>
      <protection hidden="1"/>
    </xf>
    <xf numFmtId="0" fontId="3" fillId="0" borderId="0" xfId="0" applyFont="1" applyAlignment="1">
      <alignment vertical="top" wrapText="1"/>
    </xf>
    <xf numFmtId="0" fontId="3" fillId="0" borderId="0" xfId="0" applyFont="1" applyAlignment="1" applyProtection="1">
      <alignment horizontal="left" vertical="top" wrapText="1"/>
      <protection hidden="1"/>
    </xf>
    <xf numFmtId="0" fontId="41" fillId="0" borderId="0" xfId="0" applyFont="1" applyAlignment="1" applyProtection="1">
      <alignment horizontal="left" vertical="top" wrapText="1"/>
      <protection hidden="1"/>
    </xf>
    <xf numFmtId="0" fontId="2" fillId="0" borderId="0" xfId="0" applyFont="1" applyAlignment="1">
      <alignment vertical="top"/>
    </xf>
    <xf numFmtId="0" fontId="2" fillId="0" borderId="0" xfId="0" applyFont="1" applyAlignment="1" applyProtection="1">
      <alignment horizontal="left" vertical="top" wrapText="1"/>
      <protection hidden="1"/>
    </xf>
    <xf numFmtId="0" fontId="42" fillId="0" borderId="0" xfId="0" applyFont="1" applyAlignment="1" applyProtection="1">
      <alignment horizontal="left" vertical="top" wrapText="1"/>
      <protection hidden="1"/>
    </xf>
    <xf numFmtId="0" fontId="2" fillId="18" borderId="0" xfId="0" applyFont="1" applyFill="1" applyAlignment="1" applyProtection="1">
      <alignment horizontal="center" vertical="top" wrapText="1"/>
      <protection hidden="1"/>
    </xf>
    <xf numFmtId="0" fontId="3" fillId="18" borderId="0" xfId="0" applyFont="1" applyFill="1" applyAlignment="1" applyProtection="1">
      <alignment horizontal="left" vertical="top" wrapText="1"/>
      <protection hidden="1"/>
    </xf>
    <xf numFmtId="0" fontId="41" fillId="18" borderId="0" xfId="0" applyFont="1" applyFill="1" applyAlignment="1" applyProtection="1">
      <alignment horizontal="left" vertical="top" wrapText="1"/>
      <protection hidden="1"/>
    </xf>
    <xf numFmtId="0" fontId="2" fillId="0" borderId="0" xfId="0" applyFont="1" applyAlignment="1" applyProtection="1">
      <alignment horizontal="center" vertical="top" wrapText="1"/>
      <protection hidden="1"/>
    </xf>
    <xf numFmtId="0" fontId="3" fillId="0" borderId="0" xfId="0" applyFont="1" applyAlignment="1">
      <alignment horizontal="left" vertical="top" wrapText="1"/>
    </xf>
    <xf numFmtId="0" fontId="3" fillId="0" borderId="0" xfId="0" applyFont="1" applyAlignment="1">
      <alignment horizontal="left" vertical="top"/>
    </xf>
    <xf numFmtId="0" fontId="2" fillId="18" borderId="0" xfId="0" applyFont="1" applyFill="1" applyAlignment="1">
      <alignment horizontal="left"/>
    </xf>
    <xf numFmtId="0" fontId="3" fillId="18" borderId="0" xfId="0" applyFont="1" applyFill="1" applyAlignment="1">
      <alignment wrapText="1"/>
    </xf>
    <xf numFmtId="49" fontId="3" fillId="0" borderId="0" xfId="0" applyNumberFormat="1" applyFont="1" applyAlignment="1">
      <alignment wrapText="1"/>
    </xf>
    <xf numFmtId="0" fontId="2" fillId="18" borderId="0" xfId="0" applyFont="1" applyFill="1" applyAlignment="1">
      <alignment vertical="top"/>
    </xf>
    <xf numFmtId="0" fontId="3" fillId="18" borderId="0" xfId="0" applyFont="1" applyFill="1" applyAlignment="1">
      <alignment vertical="top" wrapText="1"/>
    </xf>
    <xf numFmtId="0" fontId="41" fillId="0" borderId="0" xfId="0" applyFont="1" applyAlignment="1">
      <alignment vertical="top" wrapText="1"/>
    </xf>
    <xf numFmtId="0" fontId="3" fillId="15" borderId="11" xfId="41" applyFont="1" applyFill="1" applyBorder="1"/>
    <xf numFmtId="0" fontId="3" fillId="15" borderId="0" xfId="41" applyFont="1" applyFill="1"/>
    <xf numFmtId="0" fontId="3" fillId="15" borderId="0" xfId="41" applyFont="1" applyFill="1" applyAlignment="1">
      <alignment vertical="center"/>
    </xf>
    <xf numFmtId="0" fontId="58" fillId="15" borderId="0" xfId="41" applyFont="1" applyFill="1"/>
    <xf numFmtId="0" fontId="58" fillId="15" borderId="0" xfId="41" applyFont="1" applyFill="1" applyAlignment="1">
      <alignment vertical="center"/>
    </xf>
    <xf numFmtId="0" fontId="59" fillId="15" borderId="0" xfId="41" applyFont="1" applyFill="1" applyAlignment="1">
      <alignment horizontal="right" vertical="center"/>
    </xf>
    <xf numFmtId="0" fontId="60" fillId="15" borderId="12" xfId="41" applyFont="1" applyFill="1" applyBorder="1"/>
    <xf numFmtId="0" fontId="3" fillId="15" borderId="0" xfId="41" applyFont="1" applyFill="1" applyProtection="1">
      <protection locked="0" hidden="1"/>
    </xf>
    <xf numFmtId="0" fontId="61" fillId="15" borderId="0" xfId="41" applyFont="1" applyFill="1" applyProtection="1">
      <protection locked="0"/>
    </xf>
    <xf numFmtId="0" fontId="3" fillId="15" borderId="12" xfId="41" applyFont="1" applyFill="1" applyBorder="1"/>
    <xf numFmtId="0" fontId="4" fillId="15" borderId="0" xfId="41" applyFont="1" applyFill="1"/>
    <xf numFmtId="0" fontId="4" fillId="15" borderId="0" xfId="41" applyFont="1" applyFill="1" applyProtection="1">
      <protection hidden="1"/>
    </xf>
    <xf numFmtId="0" fontId="44" fillId="15" borderId="0" xfId="41" applyFont="1" applyFill="1" applyProtection="1">
      <protection hidden="1"/>
    </xf>
    <xf numFmtId="0" fontId="4" fillId="15" borderId="0" xfId="41" applyFont="1" applyFill="1" applyAlignment="1">
      <alignment horizontal="right" vertical="center"/>
    </xf>
    <xf numFmtId="0" fontId="10" fillId="15" borderId="0" xfId="41" applyFont="1" applyFill="1" applyAlignment="1">
      <alignment horizontal="right" vertical="center"/>
    </xf>
    <xf numFmtId="0" fontId="7" fillId="21" borderId="0" xfId="41" applyFont="1" applyFill="1"/>
    <xf numFmtId="0" fontId="3" fillId="15" borderId="0" xfId="41" applyFont="1" applyFill="1" applyProtection="1">
      <protection hidden="1"/>
    </xf>
    <xf numFmtId="0" fontId="4" fillId="15" borderId="0" xfId="41" applyFont="1" applyFill="1" applyAlignment="1">
      <alignment horizontal="justify" vertical="center" wrapText="1"/>
    </xf>
    <xf numFmtId="0" fontId="3" fillId="15" borderId="0" xfId="41" applyFont="1" applyFill="1" applyAlignment="1" applyProtection="1">
      <alignment horizontal="left" wrapText="1"/>
      <protection hidden="1"/>
    </xf>
    <xf numFmtId="0" fontId="3" fillId="15" borderId="11" xfId="41" applyFont="1" applyFill="1" applyBorder="1" applyAlignment="1">
      <alignment vertical="center"/>
    </xf>
    <xf numFmtId="0" fontId="3" fillId="15" borderId="12" xfId="41" applyFont="1" applyFill="1" applyBorder="1" applyAlignment="1">
      <alignment vertical="center"/>
    </xf>
    <xf numFmtId="0" fontId="4" fillId="15" borderId="0" xfId="41" applyFont="1" applyFill="1" applyAlignment="1" applyProtection="1">
      <alignment horizontal="left" wrapText="1"/>
      <protection hidden="1"/>
    </xf>
    <xf numFmtId="0" fontId="4" fillId="15" borderId="0" xfId="41" applyFont="1" applyFill="1" applyAlignment="1">
      <alignment horizontal="left" wrapText="1"/>
    </xf>
    <xf numFmtId="0" fontId="3" fillId="15" borderId="0" xfId="41" applyFont="1" applyFill="1" applyAlignment="1">
      <alignment horizontal="left" wrapText="1"/>
    </xf>
    <xf numFmtId="0" fontId="3" fillId="15" borderId="14" xfId="41" applyFont="1" applyFill="1" applyBorder="1"/>
    <xf numFmtId="0" fontId="3" fillId="15" borderId="15" xfId="41" applyFont="1" applyFill="1" applyBorder="1"/>
    <xf numFmtId="0" fontId="3" fillId="15" borderId="16" xfId="41" applyFont="1" applyFill="1" applyBorder="1"/>
    <xf numFmtId="0" fontId="1" fillId="0" borderId="0" xfId="44"/>
    <xf numFmtId="0" fontId="3" fillId="15" borderId="11" xfId="47" applyFill="1" applyBorder="1" applyAlignment="1">
      <alignment vertical="center"/>
    </xf>
    <xf numFmtId="0" fontId="34" fillId="15" borderId="0" xfId="41" applyFont="1" applyFill="1" applyAlignment="1">
      <alignment horizontal="left"/>
    </xf>
    <xf numFmtId="0" fontId="2" fillId="15" borderId="0" xfId="47" applyFont="1" applyFill="1" applyAlignment="1">
      <alignment vertical="center"/>
    </xf>
    <xf numFmtId="0" fontId="3" fillId="15" borderId="12" xfId="47" applyFill="1" applyBorder="1" applyAlignment="1">
      <alignment vertical="center"/>
    </xf>
    <xf numFmtId="0" fontId="5" fillId="15" borderId="0" xfId="47" applyFont="1" applyFill="1" applyAlignment="1">
      <alignment vertical="center"/>
    </xf>
    <xf numFmtId="0" fontId="3" fillId="15" borderId="0" xfId="47" applyFill="1" applyAlignment="1">
      <alignment vertical="center"/>
    </xf>
    <xf numFmtId="0" fontId="3" fillId="0" borderId="0" xfId="44" applyFont="1"/>
    <xf numFmtId="0" fontId="3" fillId="15" borderId="0" xfId="47" applyFill="1" applyAlignment="1">
      <alignment horizontal="left" vertical="center" wrapText="1"/>
    </xf>
    <xf numFmtId="0" fontId="3" fillId="15" borderId="12" xfId="47" applyFill="1" applyBorder="1" applyAlignment="1">
      <alignment horizontal="left" vertical="center" wrapText="1"/>
    </xf>
    <xf numFmtId="0" fontId="3" fillId="15" borderId="0" xfId="47" applyFill="1" applyAlignment="1">
      <alignment horizontal="left" vertical="center"/>
    </xf>
    <xf numFmtId="0" fontId="3" fillId="0" borderId="13" xfId="47" applyBorder="1" applyAlignment="1" applyProtection="1">
      <alignment horizontal="right" vertical="center"/>
      <protection locked="0"/>
    </xf>
    <xf numFmtId="0" fontId="3" fillId="15" borderId="0" xfId="47" applyFill="1" applyAlignment="1">
      <alignment horizontal="center" vertical="center"/>
    </xf>
    <xf numFmtId="0" fontId="3" fillId="15" borderId="0" xfId="44" applyFont="1" applyFill="1"/>
    <xf numFmtId="0" fontId="3" fillId="15" borderId="0" xfId="47" applyFill="1" applyAlignment="1">
      <alignment horizontal="right" vertical="center"/>
    </xf>
    <xf numFmtId="0" fontId="32" fillId="15" borderId="12" xfId="47" applyFont="1" applyFill="1" applyBorder="1" applyAlignment="1">
      <alignment horizontal="center" vertical="center"/>
    </xf>
    <xf numFmtId="0" fontId="3" fillId="15" borderId="14" xfId="47" applyFill="1" applyBorder="1" applyAlignment="1">
      <alignment vertical="center"/>
    </xf>
    <xf numFmtId="0" fontId="3" fillId="15" borderId="15" xfId="47" applyFill="1" applyBorder="1" applyAlignment="1">
      <alignment vertical="center"/>
    </xf>
    <xf numFmtId="0" fontId="3" fillId="15" borderId="16" xfId="47" applyFill="1" applyBorder="1" applyAlignment="1">
      <alignment vertical="center"/>
    </xf>
    <xf numFmtId="0" fontId="3" fillId="15" borderId="20" xfId="47" applyFill="1" applyBorder="1" applyAlignment="1" applyProtection="1">
      <alignment horizontal="right" vertical="center"/>
      <protection hidden="1"/>
    </xf>
    <xf numFmtId="0" fontId="3" fillId="15" borderId="0" xfId="47" applyFill="1" applyAlignment="1" applyProtection="1">
      <alignment horizontal="right" vertical="center"/>
      <protection hidden="1"/>
    </xf>
    <xf numFmtId="0" fontId="2" fillId="15" borderId="0" xfId="47" applyFont="1" applyFill="1" applyAlignment="1" applyProtection="1">
      <alignment horizontal="left" vertical="center"/>
      <protection hidden="1"/>
    </xf>
    <xf numFmtId="0" fontId="3" fillId="15" borderId="22" xfId="47" applyFill="1" applyBorder="1" applyAlignment="1" applyProtection="1">
      <alignment horizontal="right" vertical="center"/>
      <protection hidden="1"/>
    </xf>
    <xf numFmtId="0" fontId="3" fillId="15" borderId="10" xfId="47" applyFill="1" applyBorder="1" applyAlignment="1" applyProtection="1">
      <alignment horizontal="right" vertical="center"/>
      <protection hidden="1"/>
    </xf>
    <xf numFmtId="0" fontId="62" fillId="0" borderId="0" xfId="0" applyFont="1"/>
    <xf numFmtId="0" fontId="35" fillId="0" borderId="0" xfId="0" applyFont="1" applyAlignment="1">
      <alignment horizontal="left"/>
    </xf>
    <xf numFmtId="0" fontId="5" fillId="22" borderId="24" xfId="0" applyFont="1" applyFill="1" applyBorder="1" applyAlignment="1">
      <alignment horizontal="center"/>
    </xf>
    <xf numFmtId="0" fontId="35" fillId="22" borderId="18" xfId="0" applyFont="1" applyFill="1" applyBorder="1"/>
    <xf numFmtId="0" fontId="35" fillId="22" borderId="17" xfId="0" applyFont="1" applyFill="1" applyBorder="1"/>
    <xf numFmtId="0" fontId="35" fillId="22" borderId="19" xfId="0" applyFont="1" applyFill="1" applyBorder="1"/>
    <xf numFmtId="0" fontId="8" fillId="22" borderId="20" xfId="0" applyFont="1" applyFill="1" applyBorder="1"/>
    <xf numFmtId="0" fontId="8" fillId="22" borderId="0" xfId="0" applyFont="1" applyFill="1"/>
    <xf numFmtId="0" fontId="8" fillId="22" borderId="21" xfId="0" applyFont="1" applyFill="1" applyBorder="1"/>
    <xf numFmtId="0" fontId="2" fillId="0" borderId="0" xfId="0" applyFont="1" applyAlignment="1">
      <alignment horizontal="left"/>
    </xf>
    <xf numFmtId="0" fontId="35" fillId="22" borderId="0" xfId="0" applyFont="1" applyFill="1"/>
    <xf numFmtId="0" fontId="8" fillId="22" borderId="17" xfId="0" applyFont="1" applyFill="1" applyBorder="1"/>
    <xf numFmtId="0" fontId="8" fillId="22" borderId="19" xfId="0" applyFont="1" applyFill="1" applyBorder="1"/>
    <xf numFmtId="0" fontId="8" fillId="22" borderId="22" xfId="0" applyFont="1" applyFill="1" applyBorder="1"/>
    <xf numFmtId="0" fontId="8" fillId="22" borderId="10" xfId="0" applyFont="1" applyFill="1" applyBorder="1"/>
    <xf numFmtId="0" fontId="8" fillId="22" borderId="23" xfId="0" applyFont="1" applyFill="1" applyBorder="1"/>
    <xf numFmtId="0" fontId="45" fillId="0" borderId="0" xfId="41" applyFont="1" applyAlignment="1">
      <alignment vertical="top"/>
    </xf>
    <xf numFmtId="0" fontId="8" fillId="22" borderId="0" xfId="0" applyFont="1" applyFill="1" applyAlignment="1">
      <alignment vertical="top"/>
    </xf>
    <xf numFmtId="0" fontId="3" fillId="15" borderId="0" xfId="41" applyFont="1" applyFill="1" applyProtection="1">
      <protection locked="0"/>
    </xf>
    <xf numFmtId="0" fontId="3" fillId="19" borderId="0" xfId="41" applyFont="1" applyFill="1" applyAlignment="1">
      <alignment horizontal="left" vertical="top" wrapText="1"/>
    </xf>
    <xf numFmtId="49" fontId="3" fillId="19" borderId="0" xfId="0" applyNumberFormat="1" applyFont="1" applyFill="1" applyAlignment="1">
      <alignment horizontal="left" vertical="top" wrapText="1"/>
    </xf>
    <xf numFmtId="0" fontId="3" fillId="0" borderId="0" xfId="41" applyFont="1" applyAlignment="1">
      <alignment horizontal="left" vertical="top" wrapText="1"/>
    </xf>
    <xf numFmtId="0" fontId="39" fillId="0" borderId="0" xfId="41" applyFont="1" applyAlignment="1">
      <alignment horizontal="left" vertical="top" wrapText="1"/>
    </xf>
    <xf numFmtId="49" fontId="3" fillId="0" borderId="0" xfId="41" applyNumberFormat="1" applyFont="1" applyAlignment="1">
      <alignment horizontal="left" vertical="top" wrapText="1"/>
    </xf>
    <xf numFmtId="0" fontId="46" fillId="0" borderId="0" xfId="41" applyFont="1" applyAlignment="1">
      <alignment horizontal="left" vertical="top" wrapText="1"/>
    </xf>
    <xf numFmtId="0" fontId="46" fillId="0" borderId="0" xfId="41" applyFont="1" applyAlignment="1">
      <alignment vertical="top"/>
    </xf>
    <xf numFmtId="0" fontId="8" fillId="22" borderId="17" xfId="0" applyFont="1" applyFill="1" applyBorder="1" applyAlignment="1">
      <alignment horizontal="left"/>
    </xf>
    <xf numFmtId="0" fontId="8" fillId="22" borderId="19" xfId="0" applyFont="1" applyFill="1" applyBorder="1" applyAlignment="1">
      <alignment horizontal="left"/>
    </xf>
    <xf numFmtId="0" fontId="8" fillId="22" borderId="0" xfId="0" applyFont="1" applyFill="1" applyAlignment="1">
      <alignment horizontal="left"/>
    </xf>
    <xf numFmtId="0" fontId="8" fillId="22" borderId="21" xfId="0" applyFont="1" applyFill="1" applyBorder="1" applyAlignment="1">
      <alignment horizontal="left"/>
    </xf>
    <xf numFmtId="0" fontId="8" fillId="22" borderId="10" xfId="0" applyFont="1" applyFill="1" applyBorder="1" applyAlignment="1">
      <alignment horizontal="left"/>
    </xf>
    <xf numFmtId="0" fontId="8" fillId="22" borderId="23" xfId="0" applyFont="1" applyFill="1" applyBorder="1" applyAlignment="1">
      <alignment horizontal="left"/>
    </xf>
    <xf numFmtId="0" fontId="8" fillId="22" borderId="17" xfId="0" applyFont="1" applyFill="1" applyBorder="1" applyAlignment="1">
      <alignment horizontal="left" vertical="top"/>
    </xf>
    <xf numFmtId="0" fontId="8" fillId="22" borderId="0" xfId="0" applyFont="1" applyFill="1" applyAlignment="1">
      <alignment horizontal="left" vertical="top"/>
    </xf>
    <xf numFmtId="166" fontId="8" fillId="22" borderId="17" xfId="0" applyNumberFormat="1" applyFont="1" applyFill="1" applyBorder="1" applyAlignment="1">
      <alignment horizontal="left" vertical="top"/>
    </xf>
    <xf numFmtId="0" fontId="8" fillId="22" borderId="19" xfId="0" applyFont="1" applyFill="1" applyBorder="1" applyAlignment="1">
      <alignment horizontal="left" vertical="top"/>
    </xf>
    <xf numFmtId="166" fontId="8" fillId="22" borderId="0" xfId="0" applyNumberFormat="1" applyFont="1" applyFill="1" applyAlignment="1">
      <alignment horizontal="left" vertical="top"/>
    </xf>
    <xf numFmtId="0" fontId="8" fillId="22" borderId="21" xfId="0" applyFont="1" applyFill="1" applyBorder="1" applyAlignment="1">
      <alignment horizontal="left" vertical="top"/>
    </xf>
    <xf numFmtId="0" fontId="8" fillId="22" borderId="10" xfId="0" applyFont="1" applyFill="1" applyBorder="1" applyAlignment="1">
      <alignment horizontal="left" vertical="top"/>
    </xf>
    <xf numFmtId="0" fontId="8" fillId="22" borderId="23" xfId="0" applyFont="1" applyFill="1" applyBorder="1" applyAlignment="1">
      <alignment horizontal="left" vertical="top"/>
    </xf>
    <xf numFmtId="0" fontId="48" fillId="0" borderId="0" xfId="0" applyFont="1" applyAlignment="1">
      <alignment horizontal="center" vertical="center"/>
    </xf>
    <xf numFmtId="3" fontId="3" fillId="18" borderId="0" xfId="0" applyNumberFormat="1" applyFont="1" applyFill="1" applyAlignment="1">
      <alignment horizontal="left"/>
    </xf>
    <xf numFmtId="3" fontId="3" fillId="18" borderId="0" xfId="0" applyNumberFormat="1" applyFont="1" applyFill="1"/>
    <xf numFmtId="0" fontId="8" fillId="22" borderId="18" xfId="0" applyFont="1" applyFill="1" applyBorder="1"/>
    <xf numFmtId="0" fontId="8" fillId="22" borderId="20" xfId="0" applyFont="1" applyFill="1" applyBorder="1" applyAlignment="1">
      <alignment horizontal="center" vertical="top"/>
    </xf>
    <xf numFmtId="0" fontId="8" fillId="22" borderId="0" xfId="45" applyFont="1" applyFill="1" applyAlignment="1">
      <alignment wrapText="1"/>
    </xf>
    <xf numFmtId="0" fontId="8" fillId="22" borderId="21" xfId="0" applyFont="1" applyFill="1" applyBorder="1" applyAlignment="1">
      <alignment vertical="top"/>
    </xf>
    <xf numFmtId="0" fontId="8" fillId="22" borderId="0" xfId="0" quotePrefix="1" applyFont="1" applyFill="1" applyAlignment="1">
      <alignment vertical="top"/>
    </xf>
    <xf numFmtId="0" fontId="8" fillId="22" borderId="22" xfId="0" applyFont="1" applyFill="1" applyBorder="1" applyAlignment="1">
      <alignment horizontal="center" vertical="top"/>
    </xf>
    <xf numFmtId="0" fontId="8" fillId="22" borderId="10" xfId="0" applyFont="1" applyFill="1" applyBorder="1" applyAlignment="1">
      <alignment vertical="top"/>
    </xf>
    <xf numFmtId="0" fontId="8" fillId="22" borderId="10" xfId="45" applyFont="1" applyFill="1" applyBorder="1" applyAlignment="1">
      <alignment wrapText="1"/>
    </xf>
    <xf numFmtId="0" fontId="8" fillId="22" borderId="10" xfId="0" quotePrefix="1" applyFont="1" applyFill="1" applyBorder="1" applyAlignment="1">
      <alignment vertical="top"/>
    </xf>
    <xf numFmtId="0" fontId="8" fillId="22" borderId="23" xfId="0" applyFont="1" applyFill="1" applyBorder="1" applyAlignment="1">
      <alignment vertical="top"/>
    </xf>
    <xf numFmtId="0" fontId="3" fillId="22" borderId="0" xfId="0" applyFont="1" applyFill="1"/>
    <xf numFmtId="0" fontId="8" fillId="23" borderId="13" xfId="0" applyFont="1" applyFill="1" applyBorder="1" applyAlignment="1">
      <alignment vertical="top"/>
    </xf>
    <xf numFmtId="3" fontId="3" fillId="19" borderId="0" xfId="0" applyNumberFormat="1" applyFont="1" applyFill="1"/>
    <xf numFmtId="0" fontId="3" fillId="19" borderId="0" xfId="0" applyFont="1" applyFill="1"/>
    <xf numFmtId="3" fontId="8" fillId="22" borderId="21" xfId="0" applyNumberFormat="1" applyFont="1" applyFill="1" applyBorder="1"/>
    <xf numFmtId="4" fontId="8" fillId="22" borderId="10" xfId="0" applyNumberFormat="1" applyFont="1" applyFill="1" applyBorder="1"/>
    <xf numFmtId="3" fontId="8" fillId="22" borderId="23" xfId="0" applyNumberFormat="1" applyFont="1" applyFill="1" applyBorder="1"/>
    <xf numFmtId="0" fontId="35" fillId="22" borderId="20" xfId="42" applyFont="1" applyFill="1" applyBorder="1" applyAlignment="1">
      <alignment horizontal="right"/>
    </xf>
    <xf numFmtId="0" fontId="8" fillId="22" borderId="0" xfId="42" applyFont="1" applyFill="1"/>
    <xf numFmtId="0" fontId="35" fillId="22" borderId="0" xfId="42" applyFont="1" applyFill="1" applyAlignment="1">
      <alignment horizontal="left"/>
    </xf>
    <xf numFmtId="0" fontId="35" fillId="22" borderId="22" xfId="42" applyFont="1" applyFill="1" applyBorder="1" applyAlignment="1">
      <alignment horizontal="right"/>
    </xf>
    <xf numFmtId="0" fontId="8" fillId="22" borderId="10" xfId="42" applyFont="1" applyFill="1" applyBorder="1"/>
    <xf numFmtId="0" fontId="35" fillId="22" borderId="10" xfId="42" applyFont="1" applyFill="1" applyBorder="1" applyAlignment="1">
      <alignment horizontal="left"/>
    </xf>
    <xf numFmtId="0" fontId="8" fillId="22" borderId="28" xfId="0" applyFont="1" applyFill="1" applyBorder="1"/>
    <xf numFmtId="168" fontId="8" fillId="22" borderId="29" xfId="0" applyNumberFormat="1" applyFont="1" applyFill="1" applyBorder="1" applyAlignment="1">
      <alignment horizontal="right"/>
    </xf>
    <xf numFmtId="3" fontId="8" fillId="22" borderId="29" xfId="0" applyNumberFormat="1" applyFont="1" applyFill="1" applyBorder="1" applyAlignment="1">
      <alignment horizontal="right"/>
    </xf>
    <xf numFmtId="3" fontId="35" fillId="22" borderId="30" xfId="0" applyNumberFormat="1" applyFont="1" applyFill="1" applyBorder="1"/>
    <xf numFmtId="0" fontId="5" fillId="22" borderId="31" xfId="0" applyFont="1" applyFill="1" applyBorder="1" applyAlignment="1">
      <alignment horizontal="center"/>
    </xf>
    <xf numFmtId="3" fontId="2" fillId="22" borderId="18" xfId="0" applyNumberFormat="1" applyFont="1" applyFill="1" applyBorder="1"/>
    <xf numFmtId="3" fontId="3" fillId="22" borderId="19" xfId="0" applyNumberFormat="1" applyFont="1" applyFill="1" applyBorder="1"/>
    <xf numFmtId="0" fontId="2" fillId="22" borderId="20" xfId="0" applyFont="1" applyFill="1" applyBorder="1"/>
    <xf numFmtId="3" fontId="2" fillId="22" borderId="21" xfId="0" applyNumberFormat="1" applyFont="1" applyFill="1" applyBorder="1"/>
    <xf numFmtId="0" fontId="2" fillId="22" borderId="22" xfId="0" applyFont="1" applyFill="1" applyBorder="1"/>
    <xf numFmtId="3" fontId="2" fillId="22" borderId="23" xfId="0" applyNumberFormat="1" applyFont="1" applyFill="1" applyBorder="1"/>
    <xf numFmtId="0" fontId="5" fillId="22" borderId="32" xfId="0" applyFont="1" applyFill="1" applyBorder="1"/>
    <xf numFmtId="2" fontId="2" fillId="22" borderId="33" xfId="0" applyNumberFormat="1" applyFont="1" applyFill="1" applyBorder="1" applyAlignment="1">
      <alignment horizontal="left"/>
    </xf>
    <xf numFmtId="2" fontId="3" fillId="22" borderId="31" xfId="0" applyNumberFormat="1" applyFont="1" applyFill="1" applyBorder="1" applyAlignment="1">
      <alignment horizontal="left"/>
    </xf>
    <xf numFmtId="0" fontId="8" fillId="22" borderId="31" xfId="0" applyFont="1" applyFill="1" applyBorder="1"/>
    <xf numFmtId="3" fontId="8" fillId="18" borderId="0" xfId="0" applyNumberFormat="1" applyFont="1" applyFill="1"/>
    <xf numFmtId="14" fontId="8" fillId="23" borderId="13" xfId="0" applyNumberFormat="1" applyFont="1" applyFill="1" applyBorder="1" applyAlignment="1">
      <alignment vertical="top"/>
    </xf>
    <xf numFmtId="0" fontId="2" fillId="0" borderId="34" xfId="0" applyFont="1" applyBorder="1"/>
    <xf numFmtId="0" fontId="1" fillId="22" borderId="35" xfId="0" applyFont="1" applyFill="1" applyBorder="1"/>
    <xf numFmtId="0" fontId="1" fillId="23" borderId="35" xfId="0" applyFont="1" applyFill="1" applyBorder="1"/>
    <xf numFmtId="0" fontId="1" fillId="19" borderId="32" xfId="0" applyFont="1" applyFill="1" applyBorder="1"/>
    <xf numFmtId="1" fontId="35" fillId="22" borderId="28" xfId="0" applyNumberFormat="1" applyFont="1" applyFill="1" applyBorder="1" applyAlignment="1">
      <alignment wrapText="1"/>
    </xf>
    <xf numFmtId="1" fontId="35" fillId="22" borderId="29" xfId="0" applyNumberFormat="1" applyFont="1" applyFill="1" applyBorder="1" applyAlignment="1">
      <alignment vertical="center" wrapText="1"/>
    </xf>
    <xf numFmtId="1" fontId="35" fillId="22" borderId="30" xfId="0" applyNumberFormat="1" applyFont="1" applyFill="1" applyBorder="1" applyAlignment="1">
      <alignment vertical="center" wrapText="1"/>
    </xf>
    <xf numFmtId="0" fontId="35" fillId="0" borderId="13" xfId="0" applyFont="1" applyBorder="1"/>
    <xf numFmtId="0" fontId="8" fillId="23" borderId="13" xfId="0" applyFont="1" applyFill="1" applyBorder="1"/>
    <xf numFmtId="14" fontId="8" fillId="23" borderId="13" xfId="0" applyNumberFormat="1" applyFont="1" applyFill="1" applyBorder="1"/>
    <xf numFmtId="169" fontId="8" fillId="0" borderId="0" xfId="0" applyNumberFormat="1" applyFont="1"/>
    <xf numFmtId="0" fontId="49" fillId="0" borderId="0" xfId="0" applyFont="1"/>
    <xf numFmtId="0" fontId="1" fillId="15" borderId="0" xfId="41" applyFill="1" applyAlignment="1">
      <alignment horizontal="justify" vertical="center" wrapText="1"/>
    </xf>
    <xf numFmtId="170" fontId="1" fillId="15" borderId="0" xfId="41" applyNumberFormat="1" applyFill="1" applyAlignment="1">
      <alignment horizontal="justify" vertical="center"/>
    </xf>
    <xf numFmtId="0" fontId="3" fillId="15" borderId="0" xfId="41" applyFont="1" applyFill="1" applyAlignment="1" applyProtection="1">
      <alignment horizontal="left" vertical="center" wrapText="1"/>
      <protection hidden="1"/>
    </xf>
    <xf numFmtId="0" fontId="4" fillId="15" borderId="0" xfId="41" applyFont="1" applyFill="1" applyAlignment="1" applyProtection="1">
      <alignment horizontal="left"/>
      <protection hidden="1"/>
    </xf>
    <xf numFmtId="0" fontId="50" fillId="15" borderId="0" xfId="41" applyFont="1" applyFill="1" applyProtection="1">
      <protection hidden="1"/>
    </xf>
    <xf numFmtId="0" fontId="2" fillId="21" borderId="37" xfId="41" applyFont="1" applyFill="1" applyBorder="1" applyAlignment="1">
      <alignment horizontal="left" vertical="center"/>
    </xf>
    <xf numFmtId="0" fontId="2" fillId="21" borderId="25" xfId="47" applyFont="1" applyFill="1" applyBorder="1" applyAlignment="1" applyProtection="1">
      <alignment horizontal="left" vertical="center"/>
      <protection hidden="1"/>
    </xf>
    <xf numFmtId="0" fontId="3" fillId="21" borderId="39" xfId="0" applyFont="1" applyFill="1" applyBorder="1" applyAlignment="1">
      <alignment vertical="center"/>
    </xf>
    <xf numFmtId="0" fontId="3" fillId="21" borderId="40" xfId="0" applyFont="1" applyFill="1" applyBorder="1" applyAlignment="1">
      <alignment vertical="center"/>
    </xf>
    <xf numFmtId="0" fontId="2" fillId="21" borderId="41" xfId="0" applyFont="1" applyFill="1" applyBorder="1" applyAlignment="1">
      <alignment vertical="center"/>
    </xf>
    <xf numFmtId="0" fontId="67" fillId="15" borderId="0" xfId="0" applyFont="1" applyFill="1"/>
    <xf numFmtId="172" fontId="41" fillId="23" borderId="0" xfId="0" applyNumberFormat="1" applyFont="1" applyFill="1"/>
    <xf numFmtId="172" fontId="41" fillId="23" borderId="26" xfId="0" applyNumberFormat="1" applyFont="1" applyFill="1" applyBorder="1"/>
    <xf numFmtId="0" fontId="1" fillId="15" borderId="0" xfId="0" applyFont="1" applyFill="1" applyAlignment="1">
      <alignment horizontal="left"/>
    </xf>
    <xf numFmtId="0" fontId="68" fillId="15" borderId="0" xfId="41" applyFont="1" applyFill="1" applyAlignment="1" applyProtection="1">
      <alignment horizontal="left"/>
      <protection hidden="1"/>
    </xf>
    <xf numFmtId="0" fontId="68" fillId="15" borderId="0" xfId="41" applyFont="1" applyFill="1" applyAlignment="1">
      <alignment horizontal="left"/>
    </xf>
    <xf numFmtId="0" fontId="2" fillId="0" borderId="0" xfId="0" applyFont="1" applyAlignment="1" applyProtection="1">
      <alignment horizontal="left"/>
      <protection locked="0"/>
    </xf>
    <xf numFmtId="0" fontId="1" fillId="0" borderId="0" xfId="0" applyFont="1" applyProtection="1">
      <protection locked="0"/>
    </xf>
    <xf numFmtId="0" fontId="3" fillId="0" borderId="0" xfId="0" applyFont="1" applyProtection="1">
      <protection locked="0"/>
    </xf>
    <xf numFmtId="0" fontId="51" fillId="0" borderId="0" xfId="41" applyFont="1" applyAlignment="1">
      <alignment horizontal="left" vertical="top" wrapText="1"/>
    </xf>
    <xf numFmtId="0" fontId="51" fillId="0" borderId="0" xfId="41" applyFont="1" applyAlignment="1">
      <alignment vertical="top"/>
    </xf>
    <xf numFmtId="0" fontId="4" fillId="21" borderId="0" xfId="41" applyFont="1" applyFill="1" applyAlignment="1" applyProtection="1">
      <alignment horizontal="center" vertical="center" wrapText="1"/>
      <protection hidden="1"/>
    </xf>
    <xf numFmtId="0" fontId="2" fillId="22" borderId="34" xfId="0" applyFont="1" applyFill="1" applyBorder="1"/>
    <xf numFmtId="0" fontId="8" fillId="0" borderId="24" xfId="0" applyFont="1" applyBorder="1"/>
    <xf numFmtId="0" fontId="8" fillId="0" borderId="42" xfId="0" applyFont="1" applyBorder="1"/>
    <xf numFmtId="0" fontId="8" fillId="0" borderId="43" xfId="0" applyFont="1" applyBorder="1"/>
    <xf numFmtId="0" fontId="35" fillId="22" borderId="33" xfId="0" applyFont="1" applyFill="1" applyBorder="1"/>
    <xf numFmtId="0" fontId="1" fillId="15" borderId="0" xfId="47" applyFont="1" applyFill="1" applyAlignment="1" applyProtection="1">
      <alignment horizontal="right" vertical="center"/>
      <protection hidden="1"/>
    </xf>
    <xf numFmtId="0" fontId="3" fillId="15" borderId="21" xfId="47" applyFill="1" applyBorder="1" applyAlignment="1" applyProtection="1">
      <alignment horizontal="right" vertical="center"/>
      <protection hidden="1"/>
    </xf>
    <xf numFmtId="0" fontId="1" fillId="15" borderId="10" xfId="47" applyFont="1" applyFill="1" applyBorder="1" applyAlignment="1" applyProtection="1">
      <alignment horizontal="right" vertical="center"/>
      <protection hidden="1"/>
    </xf>
    <xf numFmtId="0" fontId="3" fillId="15" borderId="23" xfId="47" applyFill="1" applyBorder="1" applyAlignment="1" applyProtection="1">
      <alignment horizontal="right" vertical="center"/>
      <protection hidden="1"/>
    </xf>
    <xf numFmtId="3" fontId="3" fillId="0" borderId="0" xfId="0" applyNumberFormat="1" applyFont="1" applyProtection="1">
      <protection locked="0"/>
    </xf>
    <xf numFmtId="0" fontId="5" fillId="0" borderId="0" xfId="0" applyFont="1"/>
    <xf numFmtId="173" fontId="8" fillId="0" borderId="0" xfId="0" applyNumberFormat="1" applyFont="1"/>
    <xf numFmtId="0" fontId="69" fillId="0" borderId="0" xfId="0" applyFont="1"/>
    <xf numFmtId="0" fontId="42" fillId="0" borderId="0" xfId="0" applyFont="1"/>
    <xf numFmtId="0" fontId="2" fillId="0" borderId="0" xfId="0" applyFont="1"/>
    <xf numFmtId="0" fontId="2" fillId="0" borderId="0" xfId="0" applyFont="1" applyAlignment="1">
      <alignment vertical="center"/>
    </xf>
    <xf numFmtId="0" fontId="41" fillId="0" borderId="0" xfId="0" applyFont="1"/>
    <xf numFmtId="165" fontId="41" fillId="0" borderId="0" xfId="0" applyNumberFormat="1" applyFont="1"/>
    <xf numFmtId="0" fontId="37" fillId="0" borderId="0" xfId="35" applyFont="1" applyAlignment="1" applyProtection="1"/>
    <xf numFmtId="0" fontId="3" fillId="0" borderId="0" xfId="44" applyFont="1" applyProtection="1">
      <protection locked="0"/>
    </xf>
    <xf numFmtId="0" fontId="3" fillId="0" borderId="0" xfId="0" applyFont="1" applyAlignment="1">
      <alignment horizontal="right"/>
    </xf>
    <xf numFmtId="0" fontId="1" fillId="0" borderId="0" xfId="0" applyFont="1" applyAlignment="1">
      <alignment horizontal="center"/>
    </xf>
    <xf numFmtId="4" fontId="2" fillId="0" borderId="13" xfId="0" applyNumberFormat="1" applyFont="1" applyBorder="1" applyAlignment="1">
      <alignment horizontal="center" wrapText="1"/>
    </xf>
    <xf numFmtId="167" fontId="2" fillId="0" borderId="13" xfId="0" applyNumberFormat="1" applyFont="1" applyBorder="1" applyAlignment="1">
      <alignment horizontal="center" wrapText="1"/>
    </xf>
    <xf numFmtId="167" fontId="2" fillId="0" borderId="13" xfId="0" applyNumberFormat="1" applyFont="1" applyBorder="1" applyAlignment="1">
      <alignment horizontal="center" vertical="center" wrapText="1"/>
    </xf>
    <xf numFmtId="0" fontId="2" fillId="0" borderId="13" xfId="0" applyFont="1" applyBorder="1"/>
    <xf numFmtId="0" fontId="3" fillId="0" borderId="13" xfId="0" applyFont="1" applyBorder="1"/>
    <xf numFmtId="0" fontId="2" fillId="0" borderId="29" xfId="0" applyFont="1" applyBorder="1"/>
    <xf numFmtId="0" fontId="3" fillId="26" borderId="13" xfId="0" applyFont="1" applyFill="1" applyBorder="1"/>
    <xf numFmtId="0" fontId="4" fillId="15" borderId="0" xfId="41" applyFont="1" applyFill="1" applyAlignment="1">
      <alignment horizontal="left"/>
    </xf>
    <xf numFmtId="165" fontId="3" fillId="0" borderId="0" xfId="0" applyNumberFormat="1" applyFont="1"/>
    <xf numFmtId="167" fontId="3" fillId="0" borderId="0" xfId="0" applyNumberFormat="1" applyFont="1"/>
    <xf numFmtId="0" fontId="4" fillId="0" borderId="0" xfId="0" applyFont="1"/>
    <xf numFmtId="0" fontId="69" fillId="0" borderId="0" xfId="0" applyFont="1" applyAlignment="1">
      <alignment horizontal="center"/>
    </xf>
    <xf numFmtId="0" fontId="1" fillId="0" borderId="0" xfId="41" applyProtection="1">
      <protection locked="0"/>
    </xf>
    <xf numFmtId="0" fontId="1" fillId="0" borderId="0" xfId="44" applyProtection="1">
      <protection locked="0"/>
    </xf>
    <xf numFmtId="0" fontId="5" fillId="15" borderId="0" xfId="0" applyFont="1" applyFill="1" applyAlignment="1">
      <alignment vertical="center"/>
    </xf>
    <xf numFmtId="0" fontId="5" fillId="21" borderId="39" xfId="0" applyFont="1" applyFill="1" applyBorder="1" applyAlignment="1">
      <alignment horizontal="right" vertical="center"/>
    </xf>
    <xf numFmtId="0" fontId="52" fillId="15" borderId="0" xfId="0" applyFont="1" applyFill="1" applyAlignment="1">
      <alignment horizontal="left" vertical="center"/>
    </xf>
    <xf numFmtId="0" fontId="8" fillId="28" borderId="0" xfId="0" applyFont="1" applyFill="1"/>
    <xf numFmtId="0" fontId="71" fillId="0" borderId="13" xfId="0" applyFont="1" applyBorder="1" applyAlignment="1">
      <alignment horizontal="center"/>
    </xf>
    <xf numFmtId="0" fontId="5" fillId="0" borderId="0" xfId="0" applyFont="1" applyAlignment="1">
      <alignment horizontal="left" vertical="center"/>
    </xf>
    <xf numFmtId="0" fontId="5" fillId="28" borderId="0" xfId="0" applyFont="1" applyFill="1"/>
    <xf numFmtId="0" fontId="3" fillId="28" borderId="0" xfId="0" applyFont="1" applyFill="1" applyAlignment="1">
      <alignment wrapText="1"/>
    </xf>
    <xf numFmtId="0" fontId="3" fillId="30" borderId="0" xfId="0" applyFont="1" applyFill="1"/>
    <xf numFmtId="0" fontId="72" fillId="0" borderId="0" xfId="41" applyFont="1"/>
    <xf numFmtId="0" fontId="3" fillId="28" borderId="0" xfId="0" applyFont="1" applyFill="1" applyAlignment="1">
      <alignment horizontal="left" vertical="top" wrapText="1"/>
    </xf>
    <xf numFmtId="0" fontId="72" fillId="30" borderId="0" xfId="41" applyFont="1" applyFill="1"/>
    <xf numFmtId="0" fontId="2" fillId="0" borderId="27" xfId="0" applyFont="1" applyBorder="1" applyAlignment="1">
      <alignment horizontal="left"/>
    </xf>
    <xf numFmtId="167" fontId="2" fillId="29" borderId="27" xfId="0" applyNumberFormat="1" applyFont="1" applyFill="1" applyBorder="1" applyAlignment="1">
      <alignment horizontal="left"/>
    </xf>
    <xf numFmtId="165" fontId="2" fillId="20" borderId="27" xfId="0" applyNumberFormat="1" applyFont="1" applyFill="1" applyBorder="1" applyAlignment="1">
      <alignment horizontal="left" vertical="center" wrapText="1"/>
    </xf>
    <xf numFmtId="0" fontId="3" fillId="0" borderId="21" xfId="0" applyFont="1" applyBorder="1"/>
    <xf numFmtId="0" fontId="5" fillId="0" borderId="21" xfId="0" applyFont="1" applyBorder="1" applyAlignment="1" applyProtection="1">
      <alignment horizontal="center"/>
      <protection locked="0"/>
    </xf>
    <xf numFmtId="0" fontId="3" fillId="15" borderId="29" xfId="0" applyFont="1" applyFill="1" applyBorder="1" applyAlignment="1">
      <alignment horizontal="right"/>
    </xf>
    <xf numFmtId="0" fontId="3" fillId="24" borderId="13" xfId="0" applyFont="1" applyFill="1" applyBorder="1" applyProtection="1">
      <protection locked="0"/>
    </xf>
    <xf numFmtId="0" fontId="4" fillId="15" borderId="0" xfId="0" applyFont="1" applyFill="1"/>
    <xf numFmtId="0" fontId="4" fillId="15" borderId="0" xfId="0" applyFont="1" applyFill="1" applyAlignment="1">
      <alignment vertical="top"/>
    </xf>
    <xf numFmtId="0" fontId="33" fillId="0" borderId="0" xfId="0" applyFont="1" applyProtection="1">
      <protection locked="0"/>
    </xf>
    <xf numFmtId="0" fontId="34" fillId="0" borderId="0" xfId="0" quotePrefix="1" applyFont="1" applyAlignment="1" applyProtection="1">
      <alignment horizontal="center"/>
      <protection locked="0"/>
    </xf>
    <xf numFmtId="3" fontId="3" fillId="0" borderId="0" xfId="0" applyNumberFormat="1" applyFont="1" applyAlignment="1" applyProtection="1">
      <alignment horizontal="right" vertical="center"/>
      <protection locked="0"/>
    </xf>
    <xf numFmtId="3" fontId="3" fillId="0" borderId="0" xfId="0" quotePrefix="1" applyNumberFormat="1" applyFont="1" applyAlignment="1" applyProtection="1">
      <alignment horizontal="right" vertical="center" wrapText="1"/>
      <protection locked="0"/>
    </xf>
    <xf numFmtId="3" fontId="3" fillId="0" borderId="0" xfId="0" applyNumberFormat="1" applyFont="1" applyAlignment="1" applyProtection="1">
      <alignment horizontal="right" vertical="center" wrapText="1"/>
      <protection locked="0"/>
    </xf>
    <xf numFmtId="3" fontId="3" fillId="0" borderId="0" xfId="0" applyNumberFormat="1" applyFont="1" applyAlignment="1" applyProtection="1">
      <alignment vertical="center" wrapText="1"/>
      <protection locked="0"/>
    </xf>
    <xf numFmtId="4" fontId="3" fillId="0" borderId="0" xfId="0" applyNumberFormat="1" applyFont="1" applyAlignment="1" applyProtection="1">
      <alignment horizontal="right" vertical="center"/>
      <protection locked="0"/>
    </xf>
    <xf numFmtId="10" fontId="3" fillId="0" borderId="0" xfId="0" applyNumberFormat="1" applyFont="1" applyAlignment="1" applyProtection="1">
      <alignment horizontal="right" vertical="center"/>
      <protection locked="0"/>
    </xf>
    <xf numFmtId="0" fontId="5" fillId="0" borderId="0" xfId="0" applyFont="1" applyAlignment="1" applyProtection="1">
      <alignment wrapText="1"/>
      <protection locked="0"/>
    </xf>
    <xf numFmtId="4" fontId="2" fillId="0" borderId="0" xfId="0" applyNumberFormat="1" applyFont="1" applyAlignment="1" applyProtection="1">
      <alignment horizontal="center" wrapText="1"/>
      <protection locked="0"/>
    </xf>
    <xf numFmtId="165" fontId="3" fillId="0" borderId="0" xfId="0" applyNumberFormat="1" applyFont="1" applyAlignment="1" applyProtection="1">
      <alignment horizontal="right" vertical="center" wrapText="1"/>
      <protection locked="0"/>
    </xf>
    <xf numFmtId="0" fontId="41" fillId="0" borderId="0" xfId="0" applyFont="1" applyAlignment="1" applyProtection="1">
      <alignment horizontal="left" vertical="center" wrapText="1"/>
      <protection locked="0"/>
    </xf>
    <xf numFmtId="167" fontId="3" fillId="0" borderId="0" xfId="0" applyNumberFormat="1" applyFont="1" applyAlignment="1" applyProtection="1">
      <alignment horizontal="right" vertical="center" wrapText="1"/>
      <protection locked="0"/>
    </xf>
    <xf numFmtId="167" fontId="2" fillId="0" borderId="0" xfId="0" applyNumberFormat="1" applyFont="1" applyAlignment="1" applyProtection="1">
      <alignment horizontal="center" wrapText="1"/>
      <protection locked="0"/>
    </xf>
    <xf numFmtId="0" fontId="43" fillId="15" borderId="0" xfId="41" applyFont="1" applyFill="1"/>
    <xf numFmtId="0" fontId="5" fillId="24" borderId="17" xfId="41" applyFont="1" applyFill="1" applyBorder="1" applyAlignment="1" applyProtection="1">
      <alignment vertical="center"/>
      <protection locked="0"/>
    </xf>
    <xf numFmtId="0" fontId="4" fillId="24" borderId="18" xfId="41" applyFont="1" applyFill="1" applyBorder="1" applyProtection="1">
      <protection locked="0"/>
    </xf>
    <xf numFmtId="0" fontId="4" fillId="24" borderId="19" xfId="41" applyFont="1" applyFill="1" applyBorder="1" applyProtection="1">
      <protection locked="0"/>
    </xf>
    <xf numFmtId="0" fontId="4" fillId="24" borderId="20" xfId="41" applyFont="1" applyFill="1" applyBorder="1" applyProtection="1">
      <protection locked="0"/>
    </xf>
    <xf numFmtId="0" fontId="4" fillId="24" borderId="0" xfId="41" applyFont="1" applyFill="1" applyProtection="1">
      <protection locked="0"/>
    </xf>
    <xf numFmtId="0" fontId="4" fillId="24" borderId="21" xfId="41" applyFont="1" applyFill="1" applyBorder="1" applyProtection="1">
      <protection locked="0"/>
    </xf>
    <xf numFmtId="0" fontId="4" fillId="24" borderId="22" xfId="41" applyFont="1" applyFill="1" applyBorder="1" applyProtection="1">
      <protection locked="0"/>
    </xf>
    <xf numFmtId="0" fontId="4" fillId="24" borderId="10" xfId="41" applyFont="1" applyFill="1" applyBorder="1" applyProtection="1">
      <protection locked="0"/>
    </xf>
    <xf numFmtId="0" fontId="4" fillId="24" borderId="23" xfId="41" applyFont="1" applyFill="1" applyBorder="1" applyProtection="1">
      <protection locked="0"/>
    </xf>
    <xf numFmtId="0" fontId="3" fillId="15" borderId="10" xfId="41" applyFont="1" applyFill="1" applyBorder="1"/>
    <xf numFmtId="0" fontId="1" fillId="0" borderId="0" xfId="41" applyAlignment="1" applyProtection="1">
      <alignment vertical="center"/>
      <protection locked="0"/>
    </xf>
    <xf numFmtId="0" fontId="4" fillId="0" borderId="0" xfId="46" applyFont="1" applyProtection="1">
      <protection locked="0"/>
    </xf>
    <xf numFmtId="0" fontId="44" fillId="0" borderId="0" xfId="46" applyFont="1" applyProtection="1">
      <protection locked="0"/>
    </xf>
    <xf numFmtId="0" fontId="2" fillId="15" borderId="0" xfId="0" quotePrefix="1" applyFont="1" applyFill="1" applyAlignment="1">
      <alignment horizontal="center"/>
    </xf>
    <xf numFmtId="0" fontId="5" fillId="15" borderId="0" xfId="0" applyFont="1" applyFill="1" applyAlignment="1">
      <alignment horizontal="left"/>
    </xf>
    <xf numFmtId="0" fontId="5" fillId="21" borderId="36" xfId="41" applyFont="1" applyFill="1" applyBorder="1" applyAlignment="1">
      <alignment horizontal="right" vertical="center"/>
    </xf>
    <xf numFmtId="0" fontId="2" fillId="21" borderId="36" xfId="41" applyFont="1" applyFill="1" applyBorder="1" applyAlignment="1">
      <alignment vertical="center"/>
    </xf>
    <xf numFmtId="0" fontId="3" fillId="21" borderId="36" xfId="0" applyFont="1" applyFill="1" applyBorder="1" applyAlignment="1">
      <alignment vertical="center"/>
    </xf>
    <xf numFmtId="0" fontId="5" fillId="21" borderId="36" xfId="41" applyFont="1" applyFill="1" applyBorder="1" applyAlignment="1">
      <alignment horizontal="left" vertical="center"/>
    </xf>
    <xf numFmtId="0" fontId="5" fillId="21" borderId="26" xfId="47" applyFont="1" applyFill="1" applyBorder="1" applyAlignment="1" applyProtection="1">
      <alignment horizontal="right" vertical="center"/>
      <protection hidden="1"/>
    </xf>
    <xf numFmtId="0" fontId="2" fillId="21" borderId="26" xfId="47" applyFont="1" applyFill="1" applyBorder="1" applyAlignment="1" applyProtection="1">
      <alignment vertical="center"/>
      <protection hidden="1"/>
    </xf>
    <xf numFmtId="0" fontId="5" fillId="21" borderId="26" xfId="47" applyFont="1" applyFill="1" applyBorder="1" applyAlignment="1" applyProtection="1">
      <alignment vertical="center"/>
      <protection hidden="1"/>
    </xf>
    <xf numFmtId="3" fontId="71" fillId="0" borderId="13" xfId="0" applyNumberFormat="1" applyFont="1" applyBorder="1" applyAlignment="1">
      <alignment horizontal="center"/>
    </xf>
    <xf numFmtId="0" fontId="5" fillId="21" borderId="39" xfId="0" applyFont="1" applyFill="1" applyBorder="1" applyAlignment="1">
      <alignment vertical="center"/>
    </xf>
    <xf numFmtId="164" fontId="3" fillId="15" borderId="0" xfId="0" applyNumberFormat="1" applyFont="1" applyFill="1" applyAlignment="1">
      <alignment horizontal="left" wrapText="1"/>
    </xf>
    <xf numFmtId="0" fontId="4" fillId="15" borderId="0" xfId="41" applyFont="1" applyFill="1" applyAlignment="1">
      <alignment vertical="top"/>
    </xf>
    <xf numFmtId="0" fontId="4" fillId="15" borderId="21" xfId="41" applyFont="1" applyFill="1" applyBorder="1" applyAlignment="1">
      <alignment vertical="top"/>
    </xf>
    <xf numFmtId="0" fontId="4" fillId="15" borderId="0" xfId="41" applyFont="1" applyFill="1" applyAlignment="1">
      <alignment horizontal="right" vertical="top"/>
    </xf>
    <xf numFmtId="0" fontId="2" fillId="21" borderId="36" xfId="41" applyFont="1" applyFill="1" applyBorder="1" applyAlignment="1" applyProtection="1">
      <alignment horizontal="left" vertical="center"/>
      <protection hidden="1"/>
    </xf>
    <xf numFmtId="0" fontId="5" fillId="21" borderId="36" xfId="41" applyFont="1" applyFill="1" applyBorder="1" applyAlignment="1" applyProtection="1">
      <alignment horizontal="right" vertical="center"/>
      <protection hidden="1"/>
    </xf>
    <xf numFmtId="0" fontId="5" fillId="21" borderId="38" xfId="41" applyFont="1" applyFill="1" applyBorder="1" applyAlignment="1" applyProtection="1">
      <alignment horizontal="right" vertical="center"/>
      <protection hidden="1"/>
    </xf>
    <xf numFmtId="0" fontId="5" fillId="21" borderId="27" xfId="47" applyFont="1" applyFill="1" applyBorder="1" applyAlignment="1" applyProtection="1">
      <alignment horizontal="right" vertical="center"/>
      <protection hidden="1"/>
    </xf>
    <xf numFmtId="0" fontId="3" fillId="21" borderId="26" xfId="47" applyFill="1" applyBorder="1" applyAlignment="1" applyProtection="1">
      <alignment horizontal="right" vertical="center"/>
      <protection hidden="1"/>
    </xf>
    <xf numFmtId="0" fontId="2" fillId="24" borderId="13" xfId="0" applyFont="1" applyFill="1" applyBorder="1" applyAlignment="1">
      <alignment horizontal="center"/>
    </xf>
    <xf numFmtId="0" fontId="2" fillId="0" borderId="25" xfId="0" applyFont="1" applyBorder="1"/>
    <xf numFmtId="0" fontId="2" fillId="0" borderId="13" xfId="0" applyFont="1" applyBorder="1" applyAlignment="1">
      <alignment horizontal="center"/>
    </xf>
    <xf numFmtId="0" fontId="2" fillId="0" borderId="26" xfId="0" applyFont="1" applyBorder="1"/>
    <xf numFmtId="0" fontId="5" fillId="0" borderId="25" xfId="0" applyFont="1" applyBorder="1" applyAlignment="1">
      <alignment horizontal="center"/>
    </xf>
    <xf numFmtId="0" fontId="42" fillId="0" borderId="25" xfId="0" applyFont="1" applyBorder="1"/>
    <xf numFmtId="0" fontId="2" fillId="0" borderId="27" xfId="0" applyFont="1" applyBorder="1"/>
    <xf numFmtId="0" fontId="42" fillId="18" borderId="13" xfId="0" applyFont="1" applyFill="1" applyBorder="1" applyAlignment="1">
      <alignment horizontal="center"/>
    </xf>
    <xf numFmtId="0" fontId="35" fillId="25" borderId="25" xfId="0" applyFont="1" applyFill="1" applyBorder="1" applyAlignment="1">
      <alignment horizontal="center"/>
    </xf>
    <xf numFmtId="0" fontId="35" fillId="25" borderId="26" xfId="0" applyFont="1" applyFill="1" applyBorder="1" applyAlignment="1">
      <alignment horizontal="center"/>
    </xf>
    <xf numFmtId="0" fontId="35" fillId="25" borderId="27" xfId="0" applyFont="1" applyFill="1" applyBorder="1" applyAlignment="1">
      <alignment horizontal="center"/>
    </xf>
    <xf numFmtId="0" fontId="35" fillId="25" borderId="13" xfId="0" applyFont="1" applyFill="1" applyBorder="1" applyAlignment="1">
      <alignment horizontal="center"/>
    </xf>
    <xf numFmtId="0" fontId="64" fillId="25" borderId="28" xfId="0" applyFont="1" applyFill="1" applyBorder="1" applyAlignment="1">
      <alignment horizontal="center"/>
    </xf>
    <xf numFmtId="0" fontId="8" fillId="25" borderId="0" xfId="0" applyFont="1" applyFill="1"/>
    <xf numFmtId="173" fontId="2" fillId="0" borderId="13" xfId="0" applyNumberFormat="1" applyFont="1" applyBorder="1" applyAlignment="1">
      <alignment horizontal="center"/>
    </xf>
    <xf numFmtId="0" fontId="42" fillId="0" borderId="13" xfId="0" applyFont="1" applyBorder="1" applyAlignment="1">
      <alignment horizontal="center" vertical="center" wrapText="1"/>
    </xf>
    <xf numFmtId="0" fontId="2" fillId="0" borderId="13" xfId="0" applyFont="1" applyBorder="1" applyAlignment="1">
      <alignment horizontal="left"/>
    </xf>
    <xf numFmtId="0" fontId="5" fillId="18" borderId="13" xfId="0" applyFont="1" applyFill="1" applyBorder="1" applyAlignment="1">
      <alignment horizontal="center"/>
    </xf>
    <xf numFmtId="0" fontId="3" fillId="0" borderId="0" xfId="0" applyFont="1" applyAlignment="1">
      <alignment horizontal="left" wrapText="1"/>
    </xf>
    <xf numFmtId="165" fontId="3" fillId="24" borderId="30" xfId="0" applyNumberFormat="1" applyFont="1" applyFill="1" applyBorder="1"/>
    <xf numFmtId="167" fontId="3" fillId="20" borderId="13" xfId="0" applyNumberFormat="1" applyFont="1" applyFill="1" applyBorder="1" applyAlignment="1">
      <alignment horizontal="right"/>
    </xf>
    <xf numFmtId="167" fontId="3" fillId="20" borderId="30" xfId="0" applyNumberFormat="1" applyFont="1" applyFill="1" applyBorder="1" applyAlignment="1">
      <alignment horizontal="right"/>
    </xf>
    <xf numFmtId="167" fontId="3" fillId="29" borderId="13" xfId="0" quotePrefix="1" applyNumberFormat="1" applyFont="1" applyFill="1" applyBorder="1" applyAlignment="1" applyProtection="1">
      <alignment horizontal="right"/>
      <protection locked="0"/>
    </xf>
    <xf numFmtId="167" fontId="3" fillId="0" borderId="13" xfId="0" quotePrefix="1" applyNumberFormat="1" applyFont="1" applyBorder="1" applyAlignment="1" applyProtection="1">
      <alignment horizontal="right"/>
      <protection locked="0"/>
    </xf>
    <xf numFmtId="167" fontId="3" fillId="16" borderId="13" xfId="0" applyNumberFormat="1" applyFont="1" applyFill="1" applyBorder="1"/>
    <xf numFmtId="167" fontId="3" fillId="0" borderId="13" xfId="0" applyNumberFormat="1" applyFont="1" applyBorder="1" applyProtection="1">
      <protection locked="0"/>
    </xf>
    <xf numFmtId="165" fontId="3" fillId="20" borderId="13" xfId="0" applyNumberFormat="1" applyFont="1" applyFill="1" applyBorder="1" applyAlignment="1">
      <alignment horizontal="right"/>
    </xf>
    <xf numFmtId="165" fontId="3" fillId="16" borderId="13" xfId="0" applyNumberFormat="1" applyFont="1" applyFill="1" applyBorder="1"/>
    <xf numFmtId="3" fontId="3" fillId="15" borderId="0" xfId="0" applyNumberFormat="1" applyFont="1" applyFill="1" applyAlignment="1">
      <alignment horizontal="center"/>
    </xf>
    <xf numFmtId="1" fontId="3" fillId="15" borderId="0" xfId="0" applyNumberFormat="1" applyFont="1" applyFill="1" applyAlignment="1">
      <alignment horizontal="left"/>
    </xf>
    <xf numFmtId="0" fontId="3" fillId="15" borderId="0" xfId="0" applyFont="1" applyFill="1" applyAlignment="1">
      <alignment horizontal="center"/>
    </xf>
    <xf numFmtId="167" fontId="42" fillId="0" borderId="13" xfId="0" applyNumberFormat="1" applyFont="1" applyBorder="1" applyAlignment="1">
      <alignment horizontal="center" wrapText="1"/>
    </xf>
    <xf numFmtId="165" fontId="3" fillId="24" borderId="13" xfId="0" applyNumberFormat="1" applyFont="1" applyFill="1" applyBorder="1"/>
    <xf numFmtId="0" fontId="3" fillId="24" borderId="13" xfId="0" applyFont="1" applyFill="1" applyBorder="1"/>
    <xf numFmtId="0" fontId="3" fillId="0" borderId="30" xfId="0" applyFont="1" applyBorder="1" applyAlignment="1">
      <alignment horizontal="right"/>
    </xf>
    <xf numFmtId="0" fontId="63" fillId="0" borderId="30" xfId="0" applyFont="1" applyBorder="1" applyAlignment="1">
      <alignment horizontal="right"/>
    </xf>
    <xf numFmtId="0" fontId="3" fillId="0" borderId="13" xfId="0" applyFont="1" applyBorder="1" applyAlignment="1">
      <alignment horizontal="right"/>
    </xf>
    <xf numFmtId="0" fontId="63" fillId="0" borderId="13" xfId="0" applyFont="1" applyBorder="1" applyAlignment="1">
      <alignment horizontal="right"/>
    </xf>
    <xf numFmtId="173" fontId="1" fillId="0" borderId="0" xfId="0" applyNumberFormat="1" applyFont="1"/>
    <xf numFmtId="0" fontId="1" fillId="0" borderId="10" xfId="0" applyFont="1" applyBorder="1"/>
    <xf numFmtId="0" fontId="1" fillId="0" borderId="20" xfId="0" applyFont="1" applyBorder="1" applyProtection="1">
      <protection locked="0"/>
    </xf>
    <xf numFmtId="0" fontId="1" fillId="0" borderId="21" xfId="0" applyFont="1" applyBorder="1" applyProtection="1">
      <protection locked="0"/>
    </xf>
    <xf numFmtId="0" fontId="41" fillId="24" borderId="30" xfId="0" applyFont="1" applyFill="1" applyBorder="1" applyAlignment="1" applyProtection="1">
      <alignment horizontal="left"/>
      <protection locked="0"/>
    </xf>
    <xf numFmtId="173" fontId="41" fillId="24" borderId="13" xfId="0" applyNumberFormat="1" applyFont="1" applyFill="1" applyBorder="1"/>
    <xf numFmtId="0" fontId="41" fillId="24" borderId="27" xfId="0" applyFont="1" applyFill="1" applyBorder="1" applyAlignment="1" applyProtection="1">
      <alignment horizontal="left"/>
      <protection locked="0"/>
    </xf>
    <xf numFmtId="0" fontId="41" fillId="24" borderId="13" xfId="0" applyFont="1" applyFill="1" applyBorder="1" applyAlignment="1">
      <alignment horizontal="left"/>
    </xf>
    <xf numFmtId="167" fontId="1" fillId="0" borderId="0" xfId="0" applyNumberFormat="1" applyFont="1" applyProtection="1">
      <protection locked="0"/>
    </xf>
    <xf numFmtId="0" fontId="1" fillId="0" borderId="21" xfId="0" applyFont="1" applyBorder="1" applyAlignment="1">
      <alignment horizontal="center"/>
    </xf>
    <xf numFmtId="0" fontId="41" fillId="0" borderId="27" xfId="0" applyFont="1" applyBorder="1" applyAlignment="1" applyProtection="1">
      <alignment horizontal="left"/>
      <protection locked="0"/>
    </xf>
    <xf numFmtId="0" fontId="41" fillId="0" borderId="13" xfId="0" applyFont="1" applyBorder="1" applyAlignment="1">
      <alignment horizontal="left"/>
    </xf>
    <xf numFmtId="173" fontId="41" fillId="0" borderId="13" xfId="0" applyNumberFormat="1" applyFont="1" applyBorder="1"/>
    <xf numFmtId="0" fontId="41" fillId="0" borderId="19" xfId="0" applyFont="1" applyBorder="1" applyAlignment="1" applyProtection="1">
      <alignment horizontal="left"/>
      <protection locked="0"/>
    </xf>
    <xf numFmtId="0" fontId="41" fillId="0" borderId="13" xfId="0" applyFont="1" applyBorder="1" applyAlignment="1" applyProtection="1">
      <alignment horizontal="left"/>
      <protection locked="0"/>
    </xf>
    <xf numFmtId="0" fontId="41" fillId="0" borderId="27" xfId="0" applyFont="1" applyBorder="1" applyAlignment="1">
      <alignment horizontal="left"/>
    </xf>
    <xf numFmtId="167" fontId="1" fillId="0" borderId="20" xfId="0" applyNumberFormat="1" applyFont="1" applyBorder="1"/>
    <xf numFmtId="167" fontId="1" fillId="0" borderId="21" xfId="0" applyNumberFormat="1" applyFont="1" applyBorder="1"/>
    <xf numFmtId="0" fontId="41" fillId="0" borderId="13" xfId="0" applyFont="1" applyBorder="1"/>
    <xf numFmtId="173" fontId="1" fillId="0" borderId="0" xfId="0" applyNumberFormat="1" applyFont="1" applyProtection="1">
      <protection locked="0"/>
    </xf>
    <xf numFmtId="0" fontId="41" fillId="0" borderId="30" xfId="0" applyFont="1" applyBorder="1" applyAlignment="1">
      <alignment horizontal="left"/>
    </xf>
    <xf numFmtId="167" fontId="8" fillId="0" borderId="0" xfId="0" applyNumberFormat="1" applyFont="1"/>
    <xf numFmtId="0" fontId="8" fillId="0" borderId="18" xfId="0" applyFont="1" applyBorder="1"/>
    <xf numFmtId="0" fontId="8" fillId="0" borderId="17" xfId="0" applyFont="1" applyBorder="1"/>
    <xf numFmtId="0" fontId="8" fillId="0" borderId="19" xfId="0" applyFont="1" applyBorder="1"/>
    <xf numFmtId="0" fontId="8" fillId="0" borderId="20" xfId="0" applyFont="1" applyBorder="1"/>
    <xf numFmtId="0" fontId="8" fillId="0" borderId="21" xfId="0" applyFont="1" applyBorder="1"/>
    <xf numFmtId="0" fontId="8" fillId="0" borderId="22" xfId="0" applyFont="1" applyBorder="1"/>
    <xf numFmtId="0" fontId="8" fillId="0" borderId="10" xfId="0" applyFont="1" applyBorder="1"/>
    <xf numFmtId="167" fontId="8" fillId="0" borderId="10" xfId="0" applyNumberFormat="1" applyFont="1" applyBorder="1"/>
    <xf numFmtId="0" fontId="8" fillId="0" borderId="23" xfId="0" applyFont="1" applyBorder="1"/>
    <xf numFmtId="167" fontId="76" fillId="0" borderId="28" xfId="0" applyNumberFormat="1" applyFont="1" applyBorder="1"/>
    <xf numFmtId="167" fontId="76" fillId="0" borderId="29" xfId="0" applyNumberFormat="1" applyFont="1" applyBorder="1"/>
    <xf numFmtId="167" fontId="76" fillId="0" borderId="30" xfId="0" applyNumberFormat="1" applyFont="1" applyBorder="1"/>
    <xf numFmtId="167" fontId="8" fillId="0" borderId="18" xfId="0" applyNumberFormat="1" applyFont="1" applyBorder="1"/>
    <xf numFmtId="167" fontId="8" fillId="0" borderId="20" xfId="0" applyNumberFormat="1" applyFont="1" applyBorder="1"/>
    <xf numFmtId="167" fontId="8" fillId="0" borderId="22" xfId="0" applyNumberFormat="1" applyFont="1" applyBorder="1"/>
    <xf numFmtId="0" fontId="3" fillId="0" borderId="13" xfId="0" applyFont="1" applyBorder="1" applyAlignment="1">
      <alignment horizontal="center"/>
    </xf>
    <xf numFmtId="0" fontId="8" fillId="32" borderId="28" xfId="0" applyFont="1" applyFill="1" applyBorder="1" applyAlignment="1">
      <alignment horizontal="center"/>
    </xf>
    <xf numFmtId="0" fontId="8" fillId="32" borderId="29" xfId="0" applyFont="1" applyFill="1" applyBorder="1" applyAlignment="1">
      <alignment horizontal="center"/>
    </xf>
    <xf numFmtId="0" fontId="8" fillId="33" borderId="28" xfId="0" applyFont="1" applyFill="1" applyBorder="1" applyAlignment="1">
      <alignment horizontal="center"/>
    </xf>
    <xf numFmtId="0" fontId="8" fillId="33" borderId="29" xfId="0" applyFont="1" applyFill="1" applyBorder="1" applyAlignment="1">
      <alignment horizontal="center"/>
    </xf>
    <xf numFmtId="0" fontId="8" fillId="34" borderId="28" xfId="0" applyFont="1" applyFill="1" applyBorder="1" applyAlignment="1">
      <alignment horizontal="center"/>
    </xf>
    <xf numFmtId="0" fontId="8" fillId="34" borderId="29" xfId="0" applyFont="1" applyFill="1" applyBorder="1" applyAlignment="1">
      <alignment horizontal="center"/>
    </xf>
    <xf numFmtId="0" fontId="8" fillId="34" borderId="30" xfId="0" applyFont="1" applyFill="1" applyBorder="1" applyAlignment="1">
      <alignment horizontal="center"/>
    </xf>
    <xf numFmtId="0" fontId="8" fillId="35" borderId="29" xfId="0" applyFont="1" applyFill="1" applyBorder="1" applyAlignment="1">
      <alignment horizontal="center"/>
    </xf>
    <xf numFmtId="0" fontId="8" fillId="34" borderId="13" xfId="0" applyFont="1" applyFill="1" applyBorder="1" applyAlignment="1">
      <alignment horizontal="center"/>
    </xf>
    <xf numFmtId="0" fontId="8" fillId="32" borderId="13" xfId="0" applyFont="1" applyFill="1" applyBorder="1" applyAlignment="1">
      <alignment horizontal="center"/>
    </xf>
    <xf numFmtId="0" fontId="8" fillId="33" borderId="13" xfId="0" applyFont="1" applyFill="1" applyBorder="1" applyAlignment="1">
      <alignment horizontal="center"/>
    </xf>
    <xf numFmtId="0" fontId="1" fillId="0" borderId="0" xfId="0" applyFont="1" applyAlignment="1">
      <alignment horizontal="right"/>
    </xf>
    <xf numFmtId="165" fontId="3" fillId="20" borderId="28" xfId="0" applyNumberFormat="1" applyFont="1" applyFill="1" applyBorder="1" applyAlignment="1">
      <alignment horizontal="right"/>
    </xf>
    <xf numFmtId="0" fontId="3" fillId="15" borderId="10" xfId="0" applyFont="1" applyFill="1" applyBorder="1" applyAlignment="1">
      <alignment horizontal="left"/>
    </xf>
    <xf numFmtId="0" fontId="3" fillId="15" borderId="10" xfId="0" applyFont="1" applyFill="1" applyBorder="1" applyAlignment="1">
      <alignment horizontal="center" wrapText="1"/>
    </xf>
    <xf numFmtId="164" fontId="3" fillId="15" borderId="23" xfId="0" applyNumberFormat="1" applyFont="1" applyFill="1" applyBorder="1" applyAlignment="1">
      <alignment horizontal="left" wrapText="1"/>
    </xf>
    <xf numFmtId="0" fontId="3" fillId="36" borderId="30" xfId="0" applyFont="1" applyFill="1" applyBorder="1"/>
    <xf numFmtId="0" fontId="3" fillId="15" borderId="28" xfId="0" applyFont="1" applyFill="1" applyBorder="1" applyAlignment="1">
      <alignment horizontal="center" vertical="top" wrapText="1"/>
    </xf>
    <xf numFmtId="0" fontId="41" fillId="15" borderId="30" xfId="0" applyFont="1" applyFill="1" applyBorder="1" applyAlignment="1">
      <alignment horizontal="center" vertical="top" wrapText="1"/>
    </xf>
    <xf numFmtId="0" fontId="41" fillId="15" borderId="0" xfId="0" applyFont="1" applyFill="1" applyAlignment="1">
      <alignment horizontal="center" vertical="top" wrapText="1"/>
    </xf>
    <xf numFmtId="168" fontId="64" fillId="0" borderId="0" xfId="28" applyNumberFormat="1" applyFont="1" applyFill="1" applyBorder="1" applyAlignment="1"/>
    <xf numFmtId="0" fontId="1" fillId="0" borderId="0" xfId="0" applyFont="1" applyAlignment="1">
      <alignment vertical="center"/>
    </xf>
    <xf numFmtId="0" fontId="54" fillId="0" borderId="0" xfId="0" applyFont="1" applyAlignment="1">
      <alignment horizontal="right" vertical="center"/>
    </xf>
    <xf numFmtId="0" fontId="54" fillId="0" borderId="0" xfId="0" applyFont="1" applyAlignment="1">
      <alignment vertical="center"/>
    </xf>
    <xf numFmtId="169" fontId="1" fillId="0" borderId="0" xfId="40" applyNumberFormat="1" applyFont="1"/>
    <xf numFmtId="0" fontId="5" fillId="0" borderId="0" xfId="0" applyFont="1" applyAlignment="1">
      <alignment horizontal="right" vertical="center"/>
    </xf>
    <xf numFmtId="0" fontId="1" fillId="0" borderId="0" xfId="0" applyFont="1" applyAlignment="1">
      <alignment horizontal="center" vertical="center"/>
    </xf>
    <xf numFmtId="0" fontId="37" fillId="0" borderId="0" xfId="35" applyFont="1" applyFill="1" applyBorder="1" applyAlignment="1" applyProtection="1">
      <alignment vertical="top"/>
    </xf>
    <xf numFmtId="165" fontId="3" fillId="0" borderId="13" xfId="0" applyNumberFormat="1" applyFont="1" applyBorder="1" applyAlignment="1" applyProtection="1">
      <alignment horizontal="right"/>
      <protection locked="0"/>
    </xf>
    <xf numFmtId="0" fontId="35" fillId="23" borderId="18" xfId="42" applyFont="1" applyFill="1" applyBorder="1" applyAlignment="1">
      <alignment horizontal="right"/>
    </xf>
    <xf numFmtId="0" fontId="8" fillId="23" borderId="17" xfId="42" applyFont="1" applyFill="1" applyBorder="1"/>
    <xf numFmtId="0" fontId="35" fillId="23" borderId="17" xfId="42" applyFont="1" applyFill="1" applyBorder="1" applyAlignment="1">
      <alignment horizontal="left"/>
    </xf>
    <xf numFmtId="0" fontId="35" fillId="23" borderId="20" xfId="42" applyFont="1" applyFill="1" applyBorder="1" applyAlignment="1">
      <alignment horizontal="right"/>
    </xf>
    <xf numFmtId="0" fontId="8" fillId="23" borderId="0" xfId="42" applyFont="1" applyFill="1"/>
    <xf numFmtId="0" fontId="35" fillId="23" borderId="0" xfId="42" applyFont="1" applyFill="1" applyAlignment="1">
      <alignment horizontal="left"/>
    </xf>
    <xf numFmtId="0" fontId="35" fillId="23" borderId="22" xfId="42" applyFont="1" applyFill="1" applyBorder="1" applyAlignment="1">
      <alignment horizontal="right"/>
    </xf>
    <xf numFmtId="0" fontId="8" fillId="23" borderId="10" xfId="42" applyFont="1" applyFill="1" applyBorder="1"/>
    <xf numFmtId="0" fontId="35" fillId="23" borderId="10" xfId="42" applyFont="1" applyFill="1" applyBorder="1" applyAlignment="1">
      <alignment horizontal="left"/>
    </xf>
    <xf numFmtId="0" fontId="2" fillId="23" borderId="25" xfId="0" applyFont="1" applyFill="1" applyBorder="1" applyAlignment="1">
      <alignment horizontal="left" vertical="top" wrapText="1"/>
    </xf>
    <xf numFmtId="169" fontId="2" fillId="23" borderId="26" xfId="0" applyNumberFormat="1" applyFont="1" applyFill="1" applyBorder="1" applyAlignment="1">
      <alignment horizontal="center" vertical="top" wrapText="1"/>
    </xf>
    <xf numFmtId="169" fontId="2" fillId="23" borderId="27" xfId="0" applyNumberFormat="1" applyFont="1" applyFill="1" applyBorder="1" applyAlignment="1">
      <alignment horizontal="center" vertical="top" wrapText="1"/>
    </xf>
    <xf numFmtId="0" fontId="2" fillId="23" borderId="18" xfId="0" applyFont="1" applyFill="1" applyBorder="1"/>
    <xf numFmtId="0" fontId="2" fillId="23" borderId="20" xfId="0" applyFont="1" applyFill="1" applyBorder="1"/>
    <xf numFmtId="0" fontId="2" fillId="23" borderId="25" xfId="0" applyFont="1" applyFill="1" applyBorder="1"/>
    <xf numFmtId="0" fontId="35" fillId="23" borderId="13" xfId="0" applyFont="1" applyFill="1" applyBorder="1" applyAlignment="1">
      <alignment vertical="top"/>
    </xf>
    <xf numFmtId="0" fontId="8" fillId="23" borderId="17" xfId="0" applyFont="1" applyFill="1" applyBorder="1" applyAlignment="1">
      <alignment vertical="top"/>
    </xf>
    <xf numFmtId="0" fontId="2" fillId="23" borderId="22" xfId="0" applyFont="1" applyFill="1" applyBorder="1"/>
    <xf numFmtId="0" fontId="3" fillId="23" borderId="10" xfId="0" applyFont="1" applyFill="1" applyBorder="1"/>
    <xf numFmtId="0" fontId="5" fillId="21" borderId="0" xfId="41" applyFont="1" applyFill="1" applyAlignment="1" applyProtection="1">
      <alignment horizontal="center" vertical="center" wrapText="1"/>
      <protection hidden="1"/>
    </xf>
    <xf numFmtId="0" fontId="4" fillId="21" borderId="0" xfId="41" applyFont="1" applyFill="1" applyAlignment="1" applyProtection="1">
      <alignment horizontal="left" vertical="center" wrapText="1"/>
      <protection hidden="1"/>
    </xf>
    <xf numFmtId="165" fontId="3" fillId="0" borderId="0" xfId="0" applyNumberFormat="1" applyFont="1" applyAlignment="1">
      <alignment horizontal="right"/>
    </xf>
    <xf numFmtId="0" fontId="3" fillId="0" borderId="0" xfId="0" applyFont="1" applyAlignment="1">
      <alignment horizontal="center"/>
    </xf>
    <xf numFmtId="0" fontId="1" fillId="0" borderId="44" xfId="41" applyBorder="1" applyProtection="1">
      <protection locked="0"/>
    </xf>
    <xf numFmtId="0" fontId="3" fillId="21" borderId="45" xfId="41" applyFont="1" applyFill="1" applyBorder="1"/>
    <xf numFmtId="0" fontId="3" fillId="21" borderId="46" xfId="41" applyFont="1" applyFill="1" applyBorder="1"/>
    <xf numFmtId="0" fontId="58" fillId="21" borderId="46" xfId="41" applyFont="1" applyFill="1" applyBorder="1" applyAlignment="1">
      <alignment vertical="center"/>
    </xf>
    <xf numFmtId="0" fontId="43" fillId="21" borderId="46" xfId="41" applyFont="1" applyFill="1" applyBorder="1" applyAlignment="1" applyProtection="1">
      <alignment horizontal="center" vertical="center" wrapText="1"/>
      <protection hidden="1"/>
    </xf>
    <xf numFmtId="0" fontId="7" fillId="21" borderId="11" xfId="41" applyFont="1" applyFill="1" applyBorder="1"/>
    <xf numFmtId="0" fontId="3" fillId="21" borderId="12" xfId="41" applyFont="1" applyFill="1" applyBorder="1"/>
    <xf numFmtId="0" fontId="74" fillId="0" borderId="0" xfId="41" applyFont="1" applyAlignment="1">
      <alignment horizontal="left" vertical="top" wrapText="1"/>
    </xf>
    <xf numFmtId="0" fontId="77" fillId="0" borderId="0" xfId="41" applyFont="1" applyAlignment="1">
      <alignment vertical="top" wrapText="1"/>
    </xf>
    <xf numFmtId="0" fontId="74" fillId="0" borderId="0" xfId="41" applyFont="1" applyAlignment="1">
      <alignment vertical="top"/>
    </xf>
    <xf numFmtId="0" fontId="4" fillId="0" borderId="0" xfId="41" applyFont="1" applyAlignment="1" applyProtection="1">
      <alignment horizontal="center" vertical="center" wrapText="1"/>
      <protection hidden="1"/>
    </xf>
    <xf numFmtId="0" fontId="4" fillId="0" borderId="18" xfId="41" applyFont="1" applyBorder="1" applyAlignment="1" applyProtection="1">
      <alignment horizontal="left" vertical="center" wrapText="1"/>
      <protection hidden="1"/>
    </xf>
    <xf numFmtId="0" fontId="4" fillId="0" borderId="17" xfId="41" applyFont="1" applyBorder="1" applyAlignment="1" applyProtection="1">
      <alignment horizontal="left" vertical="center" wrapText="1"/>
      <protection hidden="1"/>
    </xf>
    <xf numFmtId="0" fontId="4" fillId="0" borderId="19" xfId="41" applyFont="1" applyBorder="1" applyAlignment="1" applyProtection="1">
      <alignment horizontal="left" vertical="center" wrapText="1"/>
      <protection hidden="1"/>
    </xf>
    <xf numFmtId="0" fontId="4" fillId="0" borderId="20" xfId="41" applyFont="1" applyBorder="1" applyAlignment="1" applyProtection="1">
      <alignment horizontal="left" vertical="center" wrapText="1"/>
      <protection hidden="1"/>
    </xf>
    <xf numFmtId="0" fontId="4" fillId="0" borderId="22" xfId="41" applyFont="1" applyBorder="1" applyAlignment="1" applyProtection="1">
      <alignment horizontal="left" vertical="center" wrapText="1"/>
      <protection hidden="1"/>
    </xf>
    <xf numFmtId="0" fontId="4" fillId="0" borderId="10" xfId="41" applyFont="1" applyBorder="1" applyAlignment="1" applyProtection="1">
      <alignment horizontal="center" vertical="center" wrapText="1"/>
      <protection hidden="1"/>
    </xf>
    <xf numFmtId="0" fontId="4" fillId="0" borderId="10" xfId="41" applyFont="1" applyBorder="1" applyAlignment="1" applyProtection="1">
      <alignment horizontal="left" vertical="center" wrapText="1"/>
      <protection hidden="1"/>
    </xf>
    <xf numFmtId="0" fontId="4" fillId="0" borderId="23" xfId="41" applyFont="1" applyBorder="1" applyAlignment="1" applyProtection="1">
      <alignment horizontal="left" vertical="center" wrapText="1"/>
      <protection hidden="1"/>
    </xf>
    <xf numFmtId="0" fontId="4" fillId="0" borderId="20" xfId="41" applyFont="1" applyBorder="1" applyAlignment="1" applyProtection="1">
      <alignment vertical="center"/>
      <protection hidden="1"/>
    </xf>
    <xf numFmtId="0" fontId="4" fillId="0" borderId="0" xfId="41" applyFont="1" applyAlignment="1" applyProtection="1">
      <alignment vertical="center"/>
      <protection hidden="1"/>
    </xf>
    <xf numFmtId="0" fontId="4" fillId="0" borderId="21" xfId="41" applyFont="1" applyBorder="1" applyAlignment="1" applyProtection="1">
      <alignment vertical="center"/>
      <protection hidden="1"/>
    </xf>
    <xf numFmtId="0" fontId="10" fillId="0" borderId="0" xfId="41" applyFont="1" applyAlignment="1" applyProtection="1">
      <alignment vertical="center"/>
      <protection hidden="1"/>
    </xf>
    <xf numFmtId="0" fontId="10" fillId="15" borderId="22" xfId="0" applyFont="1" applyFill="1" applyBorder="1" applyAlignment="1">
      <alignment horizontal="left"/>
    </xf>
    <xf numFmtId="0" fontId="4" fillId="15" borderId="23" xfId="0" applyFont="1" applyFill="1" applyBorder="1"/>
    <xf numFmtId="0" fontId="10" fillId="15" borderId="0" xfId="0" applyFont="1" applyFill="1" applyAlignment="1">
      <alignment horizontal="left"/>
    </xf>
    <xf numFmtId="0" fontId="4" fillId="15" borderId="22" xfId="0" applyFont="1" applyFill="1" applyBorder="1" applyAlignment="1">
      <alignment horizontal="left"/>
    </xf>
    <xf numFmtId="0" fontId="78" fillId="15" borderId="0" xfId="0" applyFont="1" applyFill="1" applyAlignment="1">
      <alignment horizontal="left" vertical="center"/>
    </xf>
    <xf numFmtId="0" fontId="79" fillId="15" borderId="0" xfId="0" applyFont="1" applyFill="1" applyAlignment="1">
      <alignment horizontal="right" vertical="center"/>
    </xf>
    <xf numFmtId="0" fontId="37" fillId="31" borderId="10" xfId="35" applyFont="1" applyFill="1" applyBorder="1" applyAlignment="1" applyProtection="1">
      <alignment horizontal="center" vertical="center"/>
    </xf>
    <xf numFmtId="0" fontId="4" fillId="15" borderId="0" xfId="0" applyFont="1" applyFill="1" applyAlignment="1">
      <alignment horizontal="right" vertical="center"/>
    </xf>
    <xf numFmtId="0" fontId="71" fillId="0" borderId="0" xfId="0" applyFont="1"/>
    <xf numFmtId="0" fontId="0" fillId="0" borderId="10" xfId="0" applyBorder="1"/>
    <xf numFmtId="0" fontId="0" fillId="0" borderId="0" xfId="0" applyAlignment="1">
      <alignment horizontal="center"/>
    </xf>
    <xf numFmtId="0" fontId="0" fillId="25" borderId="13" xfId="0" applyFill="1" applyBorder="1"/>
    <xf numFmtId="0" fontId="1" fillId="34" borderId="28" xfId="0" applyFont="1" applyFill="1" applyBorder="1" applyAlignment="1">
      <alignment horizontal="center"/>
    </xf>
    <xf numFmtId="0" fontId="1" fillId="34" borderId="29" xfId="0" applyFont="1" applyFill="1" applyBorder="1" applyAlignment="1">
      <alignment horizontal="center"/>
    </xf>
    <xf numFmtId="14" fontId="0" fillId="0" borderId="0" xfId="0" applyNumberFormat="1"/>
    <xf numFmtId="0" fontId="0" fillId="0" borderId="13" xfId="0" applyBorder="1"/>
    <xf numFmtId="0" fontId="0" fillId="34" borderId="29" xfId="0" applyFill="1" applyBorder="1"/>
    <xf numFmtId="0" fontId="0" fillId="34" borderId="30" xfId="0" applyFill="1" applyBorder="1"/>
    <xf numFmtId="0" fontId="0" fillId="37" borderId="28" xfId="0" applyFill="1" applyBorder="1" applyAlignment="1">
      <alignment horizontal="center"/>
    </xf>
    <xf numFmtId="0" fontId="0" fillId="37" borderId="29" xfId="0" applyFill="1" applyBorder="1" applyAlignment="1">
      <alignment horizontal="center"/>
    </xf>
    <xf numFmtId="0" fontId="0" fillId="37" borderId="30" xfId="0" applyFill="1" applyBorder="1" applyAlignment="1">
      <alignment horizontal="center"/>
    </xf>
    <xf numFmtId="0" fontId="0" fillId="0" borderId="10" xfId="0" applyBorder="1" applyAlignment="1">
      <alignment horizontal="center"/>
    </xf>
    <xf numFmtId="0" fontId="1" fillId="34" borderId="13" xfId="0" applyFont="1" applyFill="1" applyBorder="1" applyAlignment="1">
      <alignment horizontal="center"/>
    </xf>
    <xf numFmtId="0" fontId="0" fillId="0" borderId="30" xfId="0" applyBorder="1"/>
    <xf numFmtId="0" fontId="0" fillId="0" borderId="17" xfId="0" applyBorder="1"/>
    <xf numFmtId="0" fontId="1" fillId="0" borderId="17" xfId="0" applyFont="1" applyBorder="1"/>
    <xf numFmtId="0" fontId="1" fillId="0" borderId="17" xfId="0" applyFont="1" applyBorder="1" applyAlignment="1">
      <alignment horizontal="center"/>
    </xf>
    <xf numFmtId="3" fontId="81" fillId="0" borderId="0" xfId="0" applyNumberFormat="1" applyFont="1" applyAlignment="1">
      <alignment horizontal="left"/>
    </xf>
    <xf numFmtId="0" fontId="1" fillId="26" borderId="0" xfId="41" applyFill="1" applyProtection="1">
      <protection locked="0"/>
    </xf>
    <xf numFmtId="0" fontId="81" fillId="0" borderId="0" xfId="0" applyFont="1"/>
    <xf numFmtId="0" fontId="5" fillId="0" borderId="0" xfId="0" applyFont="1" applyAlignment="1">
      <alignment horizontal="center"/>
    </xf>
    <xf numFmtId="0" fontId="8" fillId="0" borderId="53" xfId="0" applyFont="1" applyBorder="1"/>
    <xf numFmtId="0" fontId="66" fillId="0" borderId="18" xfId="0" applyFont="1" applyBorder="1"/>
    <xf numFmtId="3" fontId="8" fillId="0" borderId="19" xfId="0" applyNumberFormat="1" applyFont="1" applyBorder="1"/>
    <xf numFmtId="0" fontId="64" fillId="0" borderId="0" xfId="0" applyFont="1" applyAlignment="1">
      <alignment horizontal="left"/>
    </xf>
    <xf numFmtId="3" fontId="8" fillId="0" borderId="21" xfId="0" applyNumberFormat="1" applyFont="1" applyBorder="1"/>
    <xf numFmtId="0" fontId="66" fillId="0" borderId="0" xfId="0" applyFont="1" applyAlignment="1">
      <alignment horizontal="left"/>
    </xf>
    <xf numFmtId="0" fontId="8" fillId="22" borderId="54" xfId="0" applyFont="1" applyFill="1" applyBorder="1"/>
    <xf numFmtId="0" fontId="82" fillId="25" borderId="0" xfId="0" applyFont="1" applyFill="1"/>
    <xf numFmtId="0" fontId="3" fillId="26" borderId="0" xfId="0" applyFont="1" applyFill="1" applyAlignment="1">
      <alignment vertical="top" wrapText="1"/>
    </xf>
    <xf numFmtId="0" fontId="3" fillId="26" borderId="0" xfId="0" applyFont="1" applyFill="1" applyAlignment="1" applyProtection="1">
      <alignment horizontal="left" vertical="top" wrapText="1"/>
      <protection hidden="1"/>
    </xf>
    <xf numFmtId="171" fontId="2" fillId="25" borderId="33" xfId="0" applyNumberFormat="1" applyFont="1" applyFill="1" applyBorder="1" applyAlignment="1">
      <alignment horizontal="center"/>
    </xf>
    <xf numFmtId="0" fontId="5" fillId="15" borderId="0" xfId="47" applyFont="1" applyFill="1" applyAlignment="1" applyProtection="1">
      <alignment horizontal="left" vertical="center"/>
      <protection hidden="1"/>
    </xf>
    <xf numFmtId="165" fontId="1" fillId="0" borderId="0" xfId="0" applyNumberFormat="1" applyFont="1"/>
    <xf numFmtId="175" fontId="1" fillId="0" borderId="0" xfId="0" applyNumberFormat="1" applyFont="1"/>
    <xf numFmtId="0" fontId="3" fillId="0" borderId="0" xfId="0" applyFont="1" applyAlignment="1">
      <alignment horizontal="center" wrapText="1"/>
    </xf>
    <xf numFmtId="172" fontId="41" fillId="23" borderId="21" xfId="0" applyNumberFormat="1" applyFont="1" applyFill="1" applyBorder="1"/>
    <xf numFmtId="172" fontId="41" fillId="23" borderId="27" xfId="0" applyNumberFormat="1" applyFont="1" applyFill="1" applyBorder="1"/>
    <xf numFmtId="0" fontId="71" fillId="26" borderId="0" xfId="0" applyFont="1" applyFill="1"/>
    <xf numFmtId="0" fontId="84" fillId="19" borderId="52" xfId="0" applyFont="1" applyFill="1" applyBorder="1"/>
    <xf numFmtId="0" fontId="84" fillId="19" borderId="52" xfId="0" applyFont="1" applyFill="1" applyBorder="1" applyAlignment="1">
      <alignment horizontal="left"/>
    </xf>
    <xf numFmtId="0" fontId="84" fillId="19" borderId="48" xfId="0" applyFont="1" applyFill="1" applyBorder="1"/>
    <xf numFmtId="0" fontId="84" fillId="19" borderId="49" xfId="0" applyFont="1" applyFill="1" applyBorder="1"/>
    <xf numFmtId="0" fontId="84" fillId="19" borderId="50" xfId="0" applyFont="1" applyFill="1" applyBorder="1"/>
    <xf numFmtId="0" fontId="84" fillId="19" borderId="51" xfId="0" applyFont="1" applyFill="1" applyBorder="1"/>
    <xf numFmtId="167" fontId="84" fillId="19" borderId="50" xfId="0" applyNumberFormat="1" applyFont="1" applyFill="1" applyBorder="1"/>
    <xf numFmtId="167" fontId="84" fillId="19" borderId="52" xfId="0" applyNumberFormat="1" applyFont="1" applyFill="1" applyBorder="1"/>
    <xf numFmtId="3" fontId="8" fillId="25" borderId="17" xfId="43" applyNumberFormat="1" applyFont="1" applyFill="1" applyBorder="1"/>
    <xf numFmtId="3" fontId="8" fillId="25" borderId="0" xfId="43" applyNumberFormat="1" applyFont="1" applyFill="1"/>
    <xf numFmtId="3" fontId="8" fillId="25" borderId="10" xfId="43" applyNumberFormat="1" applyFont="1" applyFill="1" applyBorder="1"/>
    <xf numFmtId="169" fontId="2" fillId="25" borderId="13" xfId="0" applyNumberFormat="1" applyFont="1" applyFill="1" applyBorder="1" applyAlignment="1">
      <alignment horizontal="center" wrapText="1"/>
    </xf>
    <xf numFmtId="172" fontId="41" fillId="25" borderId="13" xfId="0" applyNumberFormat="1" applyFont="1" applyFill="1" applyBorder="1"/>
    <xf numFmtId="167" fontId="76" fillId="0" borderId="17" xfId="0" applyNumberFormat="1" applyFont="1" applyBorder="1"/>
    <xf numFmtId="167" fontId="76" fillId="0" borderId="0" xfId="0" applyNumberFormat="1" applyFont="1"/>
    <xf numFmtId="167" fontId="76" fillId="0" borderId="10" xfId="0" applyNumberFormat="1" applyFont="1" applyBorder="1"/>
    <xf numFmtId="0" fontId="85" fillId="0" borderId="0" xfId="53" applyFont="1" applyAlignment="1">
      <alignment horizontal="right" wrapText="1"/>
    </xf>
    <xf numFmtId="0" fontId="85" fillId="0" borderId="0" xfId="53" applyFont="1" applyAlignment="1">
      <alignment wrapText="1"/>
    </xf>
    <xf numFmtId="167" fontId="85" fillId="0" borderId="0" xfId="53" applyNumberFormat="1" applyFont="1" applyAlignment="1">
      <alignment horizontal="right" wrapText="1"/>
    </xf>
    <xf numFmtId="0" fontId="85" fillId="0" borderId="18" xfId="53" applyFont="1" applyBorder="1" applyAlignment="1">
      <alignment horizontal="center"/>
    </xf>
    <xf numFmtId="0" fontId="85" fillId="0" borderId="17" xfId="53" applyFont="1" applyBorder="1" applyAlignment="1">
      <alignment horizontal="center"/>
    </xf>
    <xf numFmtId="0" fontId="85" fillId="0" borderId="20" xfId="53" applyFont="1" applyBorder="1" applyAlignment="1">
      <alignment horizontal="right" wrapText="1"/>
    </xf>
    <xf numFmtId="165" fontId="85" fillId="0" borderId="21" xfId="53" applyNumberFormat="1" applyFont="1" applyBorder="1" applyAlignment="1">
      <alignment horizontal="right" wrapText="1"/>
    </xf>
    <xf numFmtId="0" fontId="85" fillId="0" borderId="22" xfId="53" applyFont="1" applyBorder="1" applyAlignment="1">
      <alignment horizontal="right" wrapText="1"/>
    </xf>
    <xf numFmtId="0" fontId="85" fillId="0" borderId="10" xfId="53" applyFont="1" applyBorder="1" applyAlignment="1">
      <alignment wrapText="1"/>
    </xf>
    <xf numFmtId="0" fontId="85" fillId="0" borderId="10" xfId="53" applyFont="1" applyBorder="1" applyAlignment="1">
      <alignment horizontal="right" wrapText="1"/>
    </xf>
    <xf numFmtId="167" fontId="85" fillId="0" borderId="10" xfId="53" applyNumberFormat="1" applyFont="1" applyBorder="1" applyAlignment="1">
      <alignment horizontal="right" wrapText="1"/>
    </xf>
    <xf numFmtId="165" fontId="85" fillId="0" borderId="23" xfId="53" applyNumberFormat="1" applyFont="1" applyBorder="1" applyAlignment="1">
      <alignment horizontal="right" wrapText="1"/>
    </xf>
    <xf numFmtId="0" fontId="8" fillId="0" borderId="26" xfId="0" applyFont="1" applyBorder="1"/>
    <xf numFmtId="0" fontId="8" fillId="0" borderId="27" xfId="0" applyFont="1" applyBorder="1"/>
    <xf numFmtId="0" fontId="82" fillId="0" borderId="25" xfId="0" applyFont="1" applyBorder="1"/>
    <xf numFmtId="43" fontId="8" fillId="25" borderId="28" xfId="0" applyNumberFormat="1" applyFont="1" applyFill="1" applyBorder="1" applyAlignment="1">
      <alignment horizontal="right"/>
    </xf>
    <xf numFmtId="43" fontId="8" fillId="25" borderId="29" xfId="0" applyNumberFormat="1" applyFont="1" applyFill="1" applyBorder="1" applyAlignment="1">
      <alignment horizontal="right"/>
    </xf>
    <xf numFmtId="43" fontId="8" fillId="25" borderId="30" xfId="0" applyNumberFormat="1" applyFont="1" applyFill="1" applyBorder="1" applyAlignment="1">
      <alignment horizontal="right"/>
    </xf>
    <xf numFmtId="0" fontId="5" fillId="0" borderId="28" xfId="0" applyFont="1" applyBorder="1" applyAlignment="1">
      <alignment horizontal="center"/>
    </xf>
    <xf numFmtId="3" fontId="8" fillId="22" borderId="19" xfId="0" applyNumberFormat="1" applyFont="1" applyFill="1" applyBorder="1"/>
    <xf numFmtId="4" fontId="8" fillId="25" borderId="17" xfId="0" applyNumberFormat="1" applyFont="1" applyFill="1" applyBorder="1"/>
    <xf numFmtId="4" fontId="8" fillId="25" borderId="0" xfId="0" applyNumberFormat="1" applyFont="1" applyFill="1"/>
    <xf numFmtId="4" fontId="8" fillId="25" borderId="10" xfId="0" applyNumberFormat="1" applyFont="1" applyFill="1" applyBorder="1"/>
    <xf numFmtId="0" fontId="8" fillId="22" borderId="25" xfId="0" applyFont="1" applyFill="1" applyBorder="1"/>
    <xf numFmtId="3" fontId="8" fillId="22" borderId="27" xfId="0" applyNumberFormat="1" applyFont="1" applyFill="1" applyBorder="1"/>
    <xf numFmtId="4" fontId="8" fillId="25" borderId="26" xfId="0" applyNumberFormat="1" applyFont="1" applyFill="1" applyBorder="1"/>
    <xf numFmtId="0" fontId="35" fillId="25" borderId="18" xfId="0" applyFont="1" applyFill="1" applyBorder="1" applyAlignment="1">
      <alignment horizontal="center"/>
    </xf>
    <xf numFmtId="0" fontId="35" fillId="25" borderId="17" xfId="0" applyFont="1" applyFill="1" applyBorder="1" applyAlignment="1">
      <alignment horizontal="center"/>
    </xf>
    <xf numFmtId="0" fontId="35" fillId="25" borderId="19" xfId="0" applyFont="1" applyFill="1" applyBorder="1" applyAlignment="1">
      <alignment horizontal="center"/>
    </xf>
    <xf numFmtId="0" fontId="65" fillId="25" borderId="20" xfId="0" applyFont="1" applyFill="1" applyBorder="1" applyAlignment="1">
      <alignment horizontal="right"/>
    </xf>
    <xf numFmtId="0" fontId="65" fillId="25" borderId="0" xfId="0" applyFont="1" applyFill="1" applyAlignment="1">
      <alignment horizontal="right"/>
    </xf>
    <xf numFmtId="0" fontId="65" fillId="25" borderId="21" xfId="0" applyFont="1" applyFill="1" applyBorder="1" applyAlignment="1">
      <alignment horizontal="right"/>
    </xf>
    <xf numFmtId="3" fontId="8" fillId="25" borderId="20" xfId="43" applyNumberFormat="1" applyFont="1" applyFill="1" applyBorder="1"/>
    <xf numFmtId="3" fontId="8" fillId="25" borderId="21" xfId="43" applyNumberFormat="1" applyFont="1" applyFill="1" applyBorder="1"/>
    <xf numFmtId="3" fontId="8" fillId="25" borderId="22" xfId="43" applyNumberFormat="1" applyFont="1" applyFill="1" applyBorder="1"/>
    <xf numFmtId="3" fontId="8" fillId="25" borderId="23" xfId="43" applyNumberFormat="1" applyFont="1" applyFill="1" applyBorder="1"/>
    <xf numFmtId="169" fontId="2" fillId="25" borderId="25" xfId="0" applyNumberFormat="1" applyFont="1" applyFill="1" applyBorder="1" applyAlignment="1">
      <alignment horizontal="center" vertical="top" wrapText="1"/>
    </xf>
    <xf numFmtId="169" fontId="2" fillId="25" borderId="27" xfId="0" applyNumberFormat="1" applyFont="1" applyFill="1" applyBorder="1" applyAlignment="1">
      <alignment horizontal="center" vertical="top" wrapText="1"/>
    </xf>
    <xf numFmtId="172" fontId="41" fillId="25" borderId="20" xfId="0" applyNumberFormat="1" applyFont="1" applyFill="1" applyBorder="1"/>
    <xf numFmtId="172" fontId="41" fillId="25" borderId="21" xfId="0" applyNumberFormat="1" applyFont="1" applyFill="1" applyBorder="1"/>
    <xf numFmtId="172" fontId="41" fillId="25" borderId="25" xfId="0" applyNumberFormat="1" applyFont="1" applyFill="1" applyBorder="1"/>
    <xf numFmtId="172" fontId="41" fillId="25" borderId="27" xfId="0" applyNumberFormat="1" applyFont="1" applyFill="1" applyBorder="1"/>
    <xf numFmtId="0" fontId="84" fillId="19" borderId="55" xfId="0" applyFont="1" applyFill="1" applyBorder="1"/>
    <xf numFmtId="172" fontId="41" fillId="25" borderId="29" xfId="0" applyNumberFormat="1" applyFont="1" applyFill="1" applyBorder="1"/>
    <xf numFmtId="0" fontId="1" fillId="0" borderId="0" xfId="0" applyFont="1" applyAlignment="1">
      <alignment horizontal="center" wrapText="1"/>
    </xf>
    <xf numFmtId="0" fontId="1" fillId="0" borderId="10" xfId="0" applyFont="1" applyBorder="1" applyAlignment="1">
      <alignment horizontal="center" wrapText="1"/>
    </xf>
    <xf numFmtId="0" fontId="5" fillId="21" borderId="0" xfId="41" applyFont="1" applyFill="1" applyAlignment="1" applyProtection="1">
      <alignment horizontal="center" vertical="center" wrapText="1"/>
      <protection hidden="1"/>
    </xf>
    <xf numFmtId="0" fontId="1" fillId="21" borderId="0" xfId="41" applyFill="1" applyAlignment="1">
      <alignment wrapText="1"/>
    </xf>
    <xf numFmtId="174" fontId="43" fillId="21" borderId="46" xfId="41" applyNumberFormat="1" applyFont="1" applyFill="1" applyBorder="1" applyAlignment="1" applyProtection="1">
      <alignment horizontal="center" vertical="center" wrapText="1"/>
      <protection hidden="1"/>
    </xf>
    <xf numFmtId="174" fontId="73" fillId="21" borderId="47" xfId="41" applyNumberFormat="1" applyFont="1" applyFill="1" applyBorder="1" applyAlignment="1">
      <alignment horizontal="center" vertical="center" wrapText="1"/>
    </xf>
    <xf numFmtId="0" fontId="43" fillId="21" borderId="46" xfId="41" applyFont="1" applyFill="1" applyBorder="1" applyAlignment="1" applyProtection="1">
      <alignment horizontal="left" vertical="center" wrapText="1"/>
      <protection hidden="1"/>
    </xf>
    <xf numFmtId="0" fontId="4" fillId="0" borderId="18" xfId="41" applyFont="1" applyBorder="1" applyAlignment="1" applyProtection="1">
      <alignment horizontal="left" vertical="top" wrapText="1"/>
      <protection locked="0"/>
    </xf>
    <xf numFmtId="0" fontId="4" fillId="0" borderId="17" xfId="41" applyFont="1" applyBorder="1" applyAlignment="1" applyProtection="1">
      <alignment horizontal="left" vertical="top" wrapText="1"/>
      <protection locked="0"/>
    </xf>
    <xf numFmtId="0" fontId="4" fillId="0" borderId="19" xfId="41" applyFont="1" applyBorder="1" applyAlignment="1" applyProtection="1">
      <alignment horizontal="left" vertical="top" wrapText="1"/>
      <protection locked="0"/>
    </xf>
    <xf numFmtId="0" fontId="4" fillId="0" borderId="22" xfId="41" applyFont="1" applyBorder="1" applyAlignment="1" applyProtection="1">
      <alignment horizontal="left" vertical="top" wrapText="1"/>
      <protection locked="0"/>
    </xf>
    <xf numFmtId="0" fontId="4" fillId="0" borderId="10" xfId="41" applyFont="1" applyBorder="1" applyAlignment="1" applyProtection="1">
      <alignment horizontal="left" vertical="top" wrapText="1"/>
      <protection locked="0"/>
    </xf>
    <xf numFmtId="0" fontId="4" fillId="0" borderId="23" xfId="41" applyFont="1" applyBorder="1" applyAlignment="1" applyProtection="1">
      <alignment horizontal="left" vertical="top" wrapText="1"/>
      <protection locked="0"/>
    </xf>
    <xf numFmtId="0" fontId="4" fillId="21" borderId="0" xfId="41" applyFont="1" applyFill="1" applyAlignment="1" applyProtection="1">
      <alignment horizontal="left" vertical="center" wrapText="1"/>
      <protection hidden="1"/>
    </xf>
    <xf numFmtId="0" fontId="4" fillId="21" borderId="0" xfId="41" applyFont="1" applyFill="1" applyAlignment="1">
      <alignment horizontal="left"/>
    </xf>
    <xf numFmtId="0" fontId="10" fillId="31" borderId="25" xfId="41" applyFont="1" applyFill="1" applyBorder="1" applyAlignment="1" applyProtection="1">
      <alignment horizontal="center" vertical="center" wrapText="1"/>
      <protection hidden="1"/>
    </xf>
    <xf numFmtId="0" fontId="10" fillId="31" borderId="26" xfId="0" applyFont="1" applyFill="1" applyBorder="1" applyAlignment="1">
      <alignment horizontal="center"/>
    </xf>
    <xf numFmtId="0" fontId="10" fillId="31" borderId="27" xfId="0" applyFont="1" applyFill="1" applyBorder="1" applyAlignment="1">
      <alignment horizontal="center"/>
    </xf>
    <xf numFmtId="0" fontId="4" fillId="15" borderId="0" xfId="41" applyFont="1" applyFill="1" applyAlignment="1" applyProtection="1">
      <alignment horizontal="left" vertical="top" wrapText="1"/>
      <protection hidden="1"/>
    </xf>
    <xf numFmtId="0" fontId="4" fillId="0" borderId="0" xfId="41" applyFont="1" applyAlignment="1">
      <alignment horizontal="left" vertical="top" wrapText="1"/>
    </xf>
    <xf numFmtId="0" fontId="4" fillId="15" borderId="0" xfId="41" applyFont="1" applyFill="1" applyAlignment="1" applyProtection="1">
      <alignment horizontal="left" vertical="center" wrapText="1"/>
      <protection hidden="1"/>
    </xf>
    <xf numFmtId="0" fontId="4" fillId="0" borderId="0" xfId="41" applyFont="1" applyAlignment="1">
      <alignment horizontal="left" vertical="center" wrapText="1"/>
    </xf>
    <xf numFmtId="0" fontId="4" fillId="0" borderId="0" xfId="41" applyFont="1" applyAlignment="1" applyProtection="1">
      <alignment horizontal="left" vertical="center" wrapText="1"/>
      <protection hidden="1"/>
    </xf>
    <xf numFmtId="0" fontId="4" fillId="0" borderId="21" xfId="41" applyFont="1" applyBorder="1" applyAlignment="1" applyProtection="1">
      <alignment horizontal="left" vertical="center" wrapText="1"/>
      <protection hidden="1"/>
    </xf>
    <xf numFmtId="0" fontId="10" fillId="0" borderId="25" xfId="41" applyFont="1" applyBorder="1" applyAlignment="1" applyProtection="1">
      <alignment horizontal="center" vertical="center" wrapText="1"/>
      <protection hidden="1"/>
    </xf>
    <xf numFmtId="0" fontId="10" fillId="0" borderId="26" xfId="41" applyFont="1" applyBorder="1" applyAlignment="1" applyProtection="1">
      <alignment horizontal="center" vertical="center" wrapText="1"/>
      <protection hidden="1"/>
    </xf>
    <xf numFmtId="0" fontId="10" fillId="0" borderId="27" xfId="41" applyFont="1" applyBorder="1" applyAlignment="1" applyProtection="1">
      <alignment horizontal="center" vertical="center" wrapText="1"/>
      <protection hidden="1"/>
    </xf>
    <xf numFmtId="0" fontId="2" fillId="23" borderId="13" xfId="0" applyFont="1" applyFill="1" applyBorder="1" applyAlignment="1">
      <alignment horizontal="left" vertical="center" textRotation="180"/>
    </xf>
    <xf numFmtId="0" fontId="1" fillId="0" borderId="13" xfId="0" applyFont="1" applyBorder="1"/>
    <xf numFmtId="0" fontId="2" fillId="22" borderId="13" xfId="0" applyFont="1" applyFill="1" applyBorder="1" applyAlignment="1">
      <alignment horizontal="center" vertical="center" textRotation="180"/>
    </xf>
    <xf numFmtId="0" fontId="35" fillId="36" borderId="25" xfId="0" applyFont="1" applyFill="1" applyBorder="1" applyAlignment="1">
      <alignment horizontal="center"/>
    </xf>
    <xf numFmtId="0" fontId="35" fillId="36" borderId="27" xfId="0" applyFont="1" applyFill="1" applyBorder="1" applyAlignment="1">
      <alignment horizontal="center"/>
    </xf>
    <xf numFmtId="0" fontId="42" fillId="36" borderId="13" xfId="0" applyFont="1" applyFill="1" applyBorder="1" applyAlignment="1">
      <alignment horizontal="center" vertical="center" textRotation="180"/>
    </xf>
    <xf numFmtId="0" fontId="1" fillId="36" borderId="13" xfId="0" applyFont="1" applyFill="1" applyBorder="1"/>
    <xf numFmtId="0" fontId="2" fillId="27" borderId="13" xfId="0" applyFont="1" applyFill="1" applyBorder="1" applyAlignment="1">
      <alignment horizontal="left" vertical="center" textRotation="180"/>
    </xf>
    <xf numFmtId="0" fontId="2" fillId="0" borderId="13" xfId="0" applyFont="1" applyBorder="1" applyAlignment="1">
      <alignment horizontal="left" vertical="center" textRotation="180"/>
    </xf>
    <xf numFmtId="0" fontId="3" fillId="15" borderId="18" xfId="0" applyFont="1" applyFill="1" applyBorder="1" applyAlignment="1">
      <alignment horizontal="left" vertical="top" wrapText="1"/>
    </xf>
    <xf numFmtId="0" fontId="3" fillId="15" borderId="17" xfId="0" applyFont="1" applyFill="1" applyBorder="1" applyAlignment="1">
      <alignment horizontal="left" vertical="top" wrapText="1"/>
    </xf>
    <xf numFmtId="0" fontId="3" fillId="15" borderId="19" xfId="0" applyFont="1" applyFill="1" applyBorder="1" applyAlignment="1">
      <alignment horizontal="left" vertical="top" wrapText="1"/>
    </xf>
    <xf numFmtId="0" fontId="3" fillId="15" borderId="20" xfId="0" applyFont="1" applyFill="1" applyBorder="1" applyAlignment="1">
      <alignment horizontal="left" vertical="top" wrapText="1"/>
    </xf>
    <xf numFmtId="0" fontId="3" fillId="15" borderId="0" xfId="0" applyFont="1" applyFill="1" applyAlignment="1">
      <alignment horizontal="left" vertical="top" wrapText="1"/>
    </xf>
    <xf numFmtId="0" fontId="3" fillId="15" borderId="21" xfId="0" applyFont="1" applyFill="1" applyBorder="1" applyAlignment="1">
      <alignment horizontal="left" vertical="top" wrapText="1"/>
    </xf>
    <xf numFmtId="0" fontId="3" fillId="15" borderId="22" xfId="0" applyFont="1" applyFill="1" applyBorder="1" applyAlignment="1">
      <alignment horizontal="left" vertical="top" wrapText="1"/>
    </xf>
    <xf numFmtId="0" fontId="3" fillId="15" borderId="10" xfId="0" applyFont="1" applyFill="1" applyBorder="1" applyAlignment="1">
      <alignment horizontal="left" vertical="top" wrapText="1"/>
    </xf>
    <xf numFmtId="0" fontId="3" fillId="15" borderId="23" xfId="0" applyFont="1" applyFill="1" applyBorder="1" applyAlignment="1">
      <alignment horizontal="left" vertical="top"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3" fillId="15" borderId="0" xfId="0" applyFont="1" applyFill="1" applyAlignment="1">
      <alignment horizontal="left" vertical="center" wrapText="1"/>
    </xf>
    <xf numFmtId="0" fontId="3" fillId="15" borderId="0" xfId="0" applyFont="1" applyFill="1" applyAlignment="1">
      <alignment wrapText="1"/>
    </xf>
    <xf numFmtId="0" fontId="1" fillId="0" borderId="0" xfId="0" applyFont="1"/>
    <xf numFmtId="0" fontId="1" fillId="0" borderId="21" xfId="0" applyFont="1" applyBorder="1"/>
    <xf numFmtId="0" fontId="41" fillId="24" borderId="18" xfId="0" applyFont="1" applyFill="1" applyBorder="1" applyAlignment="1">
      <alignment horizontal="left" wrapText="1"/>
    </xf>
    <xf numFmtId="0" fontId="41" fillId="24" borderId="19" xfId="0" applyFont="1" applyFill="1" applyBorder="1" applyAlignment="1">
      <alignment horizontal="left" wrapText="1"/>
    </xf>
    <xf numFmtId="0" fontId="41" fillId="24" borderId="20" xfId="0" applyFont="1" applyFill="1" applyBorder="1" applyAlignment="1">
      <alignment horizontal="left" wrapText="1"/>
    </xf>
    <xf numFmtId="0" fontId="41" fillId="24" borderId="21" xfId="0" applyFont="1" applyFill="1" applyBorder="1" applyAlignment="1">
      <alignment horizontal="left" wrapText="1"/>
    </xf>
    <xf numFmtId="0" fontId="41" fillId="24" borderId="22" xfId="0" applyFont="1" applyFill="1" applyBorder="1" applyAlignment="1">
      <alignment horizontal="left" wrapText="1"/>
    </xf>
    <xf numFmtId="0" fontId="41" fillId="24" borderId="23" xfId="0" applyFont="1" applyFill="1" applyBorder="1" applyAlignment="1">
      <alignment horizontal="left" wrapText="1"/>
    </xf>
    <xf numFmtId="0" fontId="5" fillId="31" borderId="18" xfId="0" applyFont="1" applyFill="1" applyBorder="1" applyAlignment="1">
      <alignment horizontal="center" vertical="center"/>
    </xf>
    <xf numFmtId="0" fontId="5" fillId="31" borderId="17" xfId="0" applyFont="1" applyFill="1" applyBorder="1" applyAlignment="1">
      <alignment horizontal="center" vertical="center"/>
    </xf>
    <xf numFmtId="0" fontId="5" fillId="31" borderId="19" xfId="0" applyFont="1" applyFill="1" applyBorder="1" applyAlignment="1">
      <alignment horizontal="center" vertical="center"/>
    </xf>
    <xf numFmtId="0" fontId="2" fillId="0" borderId="28" xfId="0" applyFont="1" applyBorder="1" applyAlignment="1">
      <alignment horizontal="left"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3" fillId="15" borderId="0" xfId="0" applyFont="1" applyFill="1" applyAlignment="1">
      <alignment vertical="center" wrapText="1"/>
    </xf>
    <xf numFmtId="0" fontId="3" fillId="15" borderId="0" xfId="0" applyFont="1" applyFill="1" applyAlignment="1">
      <alignment horizontal="left" wrapText="1"/>
    </xf>
    <xf numFmtId="0" fontId="3" fillId="15" borderId="21" xfId="0" applyFont="1" applyFill="1" applyBorder="1" applyAlignment="1">
      <alignment horizontal="left" wrapText="1"/>
    </xf>
    <xf numFmtId="0" fontId="3" fillId="15" borderId="0" xfId="47" applyFill="1" applyAlignment="1">
      <alignment horizontal="left" vertical="center" wrapText="1"/>
    </xf>
    <xf numFmtId="0" fontId="5" fillId="0" borderId="0" xfId="0" applyFont="1" applyAlignment="1">
      <alignment vertical="center"/>
    </xf>
    <xf numFmtId="0" fontId="0" fillId="0" borderId="0" xfId="0" applyAlignment="1">
      <alignment vertical="center"/>
    </xf>
    <xf numFmtId="0" fontId="47" fillId="0" borderId="0" xfId="35" applyFont="1" applyFill="1" applyBorder="1" applyAlignment="1" applyProtection="1">
      <alignment horizontal="left" vertical="top" wrapText="1"/>
    </xf>
    <xf numFmtId="0" fontId="75" fillId="25" borderId="17" xfId="35" applyFont="1" applyFill="1" applyBorder="1" applyAlignment="1" applyProtection="1">
      <alignment horizontal="left" vertical="top" wrapText="1"/>
    </xf>
    <xf numFmtId="0" fontId="75" fillId="25" borderId="19" xfId="35" applyFont="1" applyFill="1" applyBorder="1" applyAlignment="1" applyProtection="1">
      <alignment horizontal="left" vertical="top" wrapText="1"/>
    </xf>
    <xf numFmtId="0" fontId="75" fillId="25" borderId="10" xfId="35" applyFont="1" applyFill="1" applyBorder="1" applyAlignment="1" applyProtection="1">
      <alignment horizontal="left" vertical="top" wrapText="1"/>
    </xf>
    <xf numFmtId="0" fontId="75" fillId="25" borderId="23" xfId="35" applyFont="1" applyFill="1" applyBorder="1" applyAlignment="1" applyProtection="1">
      <alignment horizontal="left" vertical="top" wrapText="1"/>
    </xf>
  </cellXfs>
  <cellStyles count="5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Hyperlink 4" xfId="36" xr:uid="{00000000-0005-0000-0000-000023000000}"/>
    <cellStyle name="Input" xfId="37" builtinId="20" customBuiltin="1"/>
    <cellStyle name="Linked Cell" xfId="38" builtinId="24" customBuiltin="1"/>
    <cellStyle name="Neutral" xfId="39" builtinId="28" customBuiltin="1"/>
    <cellStyle name="Normal" xfId="0" builtinId="0"/>
    <cellStyle name="Normal 2" xfId="40" xr:uid="{00000000-0005-0000-0000-000028000000}"/>
    <cellStyle name="Normal 2 2" xfId="41" xr:uid="{00000000-0005-0000-0000-000029000000}"/>
    <cellStyle name="Normal_Addresses" xfId="42" xr:uid="{00000000-0005-0000-0000-00002A000000}"/>
    <cellStyle name="Normal_AppendixC" xfId="43" xr:uid="{00000000-0005-0000-0000-00002B000000}"/>
    <cellStyle name="Normal_BR1Form 201112" xfId="44" xr:uid="{00000000-0005-0000-0000-00002C000000}"/>
    <cellStyle name="Normal_Details" xfId="53" xr:uid="{8CAD07F6-CA63-4755-B8F9-FABFA58FDCD7}"/>
    <cellStyle name="Normal_Details_1" xfId="45" xr:uid="{00000000-0005-0000-0000-00002D000000}"/>
    <cellStyle name="Normal_In512" xfId="46" xr:uid="{00000000-0005-0000-0000-00002E000000}"/>
    <cellStyle name="Normal_STOCK_512_2009_10_001 2" xfId="47" xr:uid="{00000000-0005-0000-0000-00002F000000}"/>
    <cellStyle name="Note" xfId="48" builtinId="10" customBuiltin="1"/>
    <cellStyle name="Output" xfId="49" builtinId="21" customBuiltin="1"/>
    <cellStyle name="Title" xfId="50" builtinId="15" customBuiltin="1"/>
    <cellStyle name="Total" xfId="51" builtinId="25" customBuiltin="1"/>
    <cellStyle name="Warning Text" xfId="52" builtinId="11" customBuiltin="1"/>
  </cellStyles>
  <dxfs count="54">
    <dxf>
      <font>
        <b/>
        <i val="0"/>
        <strike val="0"/>
        <condense val="0"/>
        <extend val="0"/>
        <color indexed="10"/>
      </font>
    </dxf>
    <dxf>
      <font>
        <condense val="0"/>
        <extend val="0"/>
        <color auto="1"/>
      </font>
      <fill>
        <patternFill>
          <bgColor indexed="51"/>
        </patternFill>
      </fill>
    </dxf>
    <dxf>
      <font>
        <condense val="0"/>
        <extend val="0"/>
        <color indexed="9"/>
      </font>
      <fill>
        <patternFill>
          <bgColor indexed="16"/>
        </patternFill>
      </fill>
    </dxf>
    <dxf>
      <font>
        <condense val="0"/>
        <extend val="0"/>
        <color indexed="9"/>
      </font>
      <fill>
        <patternFill>
          <bgColor indexed="17"/>
        </patternFill>
      </fill>
    </dxf>
    <dxf>
      <font>
        <color theme="0"/>
      </font>
      <fill>
        <patternFill patternType="none">
          <bgColor auto="1"/>
        </patternFill>
      </fill>
    </dxf>
    <dxf>
      <font>
        <color theme="0"/>
        <name val="Cambria"/>
        <scheme val="none"/>
      </font>
    </dxf>
    <dxf>
      <font>
        <b/>
        <i val="0"/>
        <color theme="0"/>
      </font>
      <fill>
        <patternFill>
          <bgColor rgb="FFFF0000"/>
        </patternFill>
      </fill>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strike val="0"/>
        <condense val="0"/>
        <extend val="0"/>
        <color indexed="10"/>
      </font>
    </dxf>
    <dxf>
      <font>
        <b/>
        <i val="0"/>
        <color rgb="FFFF0000"/>
      </font>
      <fill>
        <patternFill patternType="solid">
          <bgColor rgb="FF99CCFF"/>
        </patternFill>
      </fill>
    </dxf>
    <dxf>
      <font>
        <b/>
        <i val="0"/>
        <condense val="0"/>
        <extend val="0"/>
        <color indexed="10"/>
      </font>
    </dxf>
    <dxf>
      <font>
        <b/>
        <i val="0"/>
        <condense val="0"/>
        <extend val="0"/>
        <color indexed="10"/>
      </font>
    </dxf>
    <dxf>
      <font>
        <b/>
        <i val="0"/>
        <strike val="0"/>
        <condense val="0"/>
        <extend val="0"/>
        <color indexed="18"/>
      </font>
    </dxf>
    <dxf>
      <font>
        <condense val="0"/>
        <extend val="0"/>
        <color indexed="63"/>
      </font>
      <border>
        <left style="thin">
          <color indexed="64"/>
        </left>
        <right style="thin">
          <color indexed="64"/>
        </right>
        <top style="thin">
          <color indexed="64"/>
        </top>
        <bottom/>
      </border>
    </dxf>
    <dxf>
      <font>
        <condense val="0"/>
        <extend val="0"/>
        <color indexed="63"/>
      </font>
      <border>
        <left style="thin">
          <color indexed="64"/>
        </left>
        <right style="thin">
          <color indexed="64"/>
        </right>
        <top style="thin">
          <color indexed="64"/>
        </top>
        <bottom/>
      </border>
    </dxf>
    <dxf>
      <font>
        <b/>
        <i val="0"/>
        <strike val="0"/>
        <condense val="0"/>
        <extend val="0"/>
        <color indexed="10"/>
      </font>
    </dxf>
    <dxf>
      <font>
        <strike val="0"/>
        <outline val="0"/>
        <shadow val="0"/>
        <u val="none"/>
        <vertAlign val="baseline"/>
        <sz val="9"/>
        <color auto="1"/>
        <name val="Arial"/>
        <family val="2"/>
        <scheme val="none"/>
      </font>
      <numFmt numFmtId="165" formatCode="#,##0_ ;[Red]\-#,##0\ "/>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dxf>
    <dxf>
      <font>
        <strike val="0"/>
        <outline val="0"/>
        <shadow val="0"/>
        <u val="none"/>
        <vertAlign val="baseline"/>
        <sz val="9"/>
        <color auto="1"/>
        <name val="Arial"/>
        <family val="2"/>
        <scheme val="none"/>
      </font>
      <numFmt numFmtId="0" formatCode="General"/>
    </dxf>
    <dxf>
      <font>
        <strike val="0"/>
        <outline val="0"/>
        <shadow val="0"/>
        <u val="none"/>
        <vertAlign val="baseline"/>
        <sz val="9"/>
        <color auto="1"/>
        <name val="Arial"/>
        <scheme val="none"/>
      </font>
    </dxf>
    <dxf>
      <font>
        <strike val="0"/>
        <outline val="0"/>
        <shadow val="0"/>
        <u val="none"/>
        <vertAlign val="baseline"/>
        <sz val="9"/>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dxf>
    <dxf>
      <border outline="0">
        <left style="medium">
          <color indexed="64"/>
        </left>
        <right style="medium">
          <color indexed="64"/>
        </right>
        <top style="medium">
          <color indexed="64"/>
        </top>
        <bottom style="medium">
          <color indexed="64"/>
        </bottom>
      </border>
    </dxf>
    <dxf>
      <font>
        <b/>
        <i val="0"/>
        <strike val="0"/>
        <condense val="0"/>
        <extend val="0"/>
        <outline val="0"/>
        <shadow val="0"/>
        <u val="none"/>
        <vertAlign val="baseline"/>
        <sz val="12"/>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val="0"/>
        <i val="0"/>
        <strike val="0"/>
        <condense val="0"/>
        <extend val="0"/>
        <outline val="0"/>
        <shadow val="0"/>
        <u val="none"/>
        <vertAlign val="baseline"/>
        <sz val="10"/>
        <color auto="1"/>
        <name val="Arial"/>
        <scheme val="none"/>
      </font>
    </dxf>
    <dxf>
      <font>
        <b/>
        <i val="0"/>
        <strike val="0"/>
        <condense val="0"/>
        <extend val="0"/>
        <outline val="0"/>
        <shadow val="0"/>
        <u val="none"/>
        <vertAlign val="baseline"/>
        <sz val="10"/>
        <color auto="1"/>
        <name val="Arial"/>
        <scheme val="none"/>
      </font>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general" vertical="top" textRotation="0" indent="0" justifyLastLine="0" shrinkToFit="0" readingOrder="0"/>
    </dxf>
    <dxf>
      <font>
        <b val="0"/>
        <i val="0"/>
        <strike val="0"/>
        <condense val="0"/>
        <extend val="0"/>
        <outline val="0"/>
        <shadow val="0"/>
        <u val="none"/>
        <vertAlign val="baseline"/>
        <sz val="10"/>
        <color theme="1"/>
        <name val="Arial"/>
        <scheme val="none"/>
      </font>
      <alignment horizontal="general" vertical="top" textRotation="0" wrapText="1" indent="0" justifyLastLine="0" shrinkToFit="0" readingOrder="0"/>
    </dxf>
    <dxf>
      <font>
        <strike val="0"/>
        <outline val="0"/>
        <shadow val="0"/>
        <u val="none"/>
        <vertAlign val="baseline"/>
        <sz val="10"/>
        <color auto="1"/>
        <name val="Arial"/>
        <scheme val="none"/>
      </font>
      <fill>
        <patternFill patternType="none">
          <fgColor indexed="64"/>
          <bgColor indexed="65"/>
        </patternFill>
      </fill>
      <alignment horizontal="left" vertical="top" textRotation="0" wrapText="1" indent="0" justifyLastLine="0" shrinkToFit="0" readingOrder="0"/>
    </dxf>
    <dxf>
      <fill>
        <patternFill patternType="solid">
          <fgColor rgb="FFE6B8B7"/>
          <bgColor rgb="FF000000"/>
        </patternFill>
      </fill>
    </dxf>
    <dxf>
      <font>
        <strike val="0"/>
        <outline val="0"/>
        <shadow val="0"/>
        <u val="none"/>
        <vertAlign val="baseline"/>
        <sz val="10"/>
        <name val="Arial"/>
        <scheme val="none"/>
      </font>
      <fill>
        <patternFill patternType="none">
          <fgColor indexed="64"/>
          <bgColor indexed="65"/>
        </patternFill>
      </fill>
      <alignment horizontal="general" vertical="top" textRotation="0" indent="0" justifyLastLine="0" shrinkToFit="0" readingOrder="0"/>
    </dxf>
    <dxf>
      <font>
        <b/>
        <i val="0"/>
        <strike val="0"/>
        <condense val="0"/>
        <extend val="0"/>
        <outline val="0"/>
        <shadow val="0"/>
        <u val="none"/>
        <vertAlign val="baseline"/>
        <sz val="10"/>
        <color auto="1"/>
        <name val="Arial"/>
        <scheme val="none"/>
      </font>
      <alignment horizontal="general" vertical="top" textRotation="0" indent="0" justifyLastLine="0" shrinkToFit="0" readingOrder="0"/>
    </dxf>
    <dxf>
      <numFmt numFmtId="167" formatCode="#,##0.00_ ;[Red]\-#,##0.00\ "/>
    </dxf>
    <dxf>
      <fill>
        <patternFill>
          <bgColor theme="5" tint="0.59999389629810485"/>
        </patternFill>
      </fill>
    </dxf>
    <dxf>
      <fill>
        <patternFill patternType="solid">
          <fgColor indexed="64"/>
          <bgColor theme="5" tint="0.59999389629810485"/>
        </patternFill>
      </fill>
    </dxf>
    <dxf>
      <fill>
        <patternFill patternType="solid">
          <fgColor indexed="64"/>
          <bgColor theme="5" tint="0.59999389629810485"/>
        </patternFill>
      </fill>
    </dxf>
    <dxf>
      <font>
        <sz val="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E9E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7154EA"/>
      <rgbColor rgb="00E5F5FF"/>
      <rgbColor rgb="009999FF"/>
      <rgbColor rgb="00993366"/>
      <rgbColor rgb="0001000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2B4F8F"/>
      <rgbColor rgb="003366FF"/>
      <rgbColor rgb="0033CCCC"/>
      <rgbColor rgb="0099CC00"/>
      <rgbColor rgb="00FFCC00"/>
      <rgbColor rgb="00FF9900"/>
      <rgbColor rgb="00FF6600"/>
      <rgbColor rgb="00666699"/>
      <rgbColor rgb="00969696"/>
      <rgbColor rgb="00BFC0C1"/>
      <rgbColor rgb="00339966"/>
      <rgbColor rgb="00C1C4C7"/>
      <rgbColor rgb="00333300"/>
      <rgbColor rgb="00993300"/>
      <rgbColor rgb="00993366"/>
      <rgbColor rgb="00333399"/>
      <rgbColor rgb="00333333"/>
    </indexedColors>
    <mruColors>
      <color rgb="FFFFFFCC"/>
      <color rgb="FFFFFF99"/>
      <color rgb="FF99FF99"/>
      <color rgb="FFE5F5FF"/>
      <color rgb="FFCCFFFF"/>
      <color rgb="FFCCECFF"/>
      <color rgb="FF808080"/>
      <color rgb="FF99CCFF"/>
      <color rgb="FF0000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8.xml" Id="rId8" /><Relationship Type="http://schemas.openxmlformats.org/officeDocument/2006/relationships/connections" Target="connections.xml" Id="rId13" /><Relationship Type="http://schemas.openxmlformats.org/officeDocument/2006/relationships/worksheet" Target="worksheets/sheet3.xml" Id="rId3" /><Relationship Type="http://schemas.openxmlformats.org/officeDocument/2006/relationships/worksheet" Target="worksheets/sheet7.xml" Id="rId7" /><Relationship Type="http://schemas.openxmlformats.org/officeDocument/2006/relationships/theme" Target="theme/theme1.xml" Id="rId12" /><Relationship Type="http://schemas.openxmlformats.org/officeDocument/2006/relationships/worksheet" Target="worksheets/sheet2.xml" Id="rId2" /><Relationship Type="http://schemas.openxmlformats.org/officeDocument/2006/relationships/calcChain" Target="calcChain.xml" Id="rId16" /><Relationship Type="http://schemas.openxmlformats.org/officeDocument/2006/relationships/worksheet" Target="worksheets/sheet1.xml" Id="rId1" /><Relationship Type="http://schemas.openxmlformats.org/officeDocument/2006/relationships/worksheet" Target="worksheets/sheet6.xml" Id="rId6" /><Relationship Type="http://schemas.openxmlformats.org/officeDocument/2006/relationships/pivotCacheDefinition" Target="pivotCache/pivotCacheDefinition1.xml" Id="rId11" /><Relationship Type="http://schemas.openxmlformats.org/officeDocument/2006/relationships/worksheet" Target="worksheets/sheet5.xml" Id="rId5" /><Relationship Type="http://schemas.openxmlformats.org/officeDocument/2006/relationships/sharedStrings" Target="sharedStrings.xml" Id="rId15" /><Relationship Type="http://schemas.openxmlformats.org/officeDocument/2006/relationships/worksheet" Target="worksheets/sheet10.xml" Id="rId10" /><Relationship Type="http://schemas.openxmlformats.org/officeDocument/2006/relationships/worksheet" Target="worksheets/sheet4.xml" Id="rId4" /><Relationship Type="http://schemas.openxmlformats.org/officeDocument/2006/relationships/worksheet" Target="worksheets/sheet9.xml" Id="rId9" /><Relationship Type="http://schemas.openxmlformats.org/officeDocument/2006/relationships/styles" Target="styles.xml" Id="rId14" /><Relationship Type="http://schemas.openxmlformats.org/officeDocument/2006/relationships/customXml" Target="/customXML/item2.xml" Id="R879582e986f94803" /></Relationships>
</file>

<file path=xl/ctrlProps/ctrlProp1.xml><?xml version="1.0" encoding="utf-8"?>
<formControlPr xmlns="http://schemas.microsoft.com/office/spreadsheetml/2009/9/main" objectType="Drop" dropLines="5" dropStyle="combo" dx="16" fmlaLink="$F$11" fmlaRange="Details!$F$51:$F$55" noThreeD="1" sel="1" val="0"/>
</file>

<file path=xl/ctrlProps/ctrlProp2.xml><?xml version="1.0" encoding="utf-8"?>
<formControlPr xmlns="http://schemas.microsoft.com/office/spreadsheetml/2009/9/main" objectType="Drop" dropLines="2" dropStyle="combo" dx="16" fmlaLink="$E$7" fmlaRange="Details!$E$2:$E$3" noThreeD="1" sel="2"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238125</xdr:colOff>
      <xdr:row>2</xdr:row>
      <xdr:rowOff>85725</xdr:rowOff>
    </xdr:from>
    <xdr:to>
      <xdr:col>14</xdr:col>
      <xdr:colOff>238125</xdr:colOff>
      <xdr:row>6</xdr:row>
      <xdr:rowOff>95250</xdr:rowOff>
    </xdr:to>
    <xdr:pic>
      <xdr:nvPicPr>
        <xdr:cNvPr id="24007" name="Picture 3">
          <a:extLst>
            <a:ext uri="{FF2B5EF4-FFF2-40B4-BE49-F238E27FC236}">
              <a16:creationId xmlns:a16="http://schemas.microsoft.com/office/drawing/2014/main" id="{00000000-0008-0000-0100-0000C75D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657850" y="581025"/>
          <a:ext cx="2305050"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438150</xdr:colOff>
      <xdr:row>45</xdr:row>
      <xdr:rowOff>114300</xdr:rowOff>
    </xdr:from>
    <xdr:to>
      <xdr:col>13</xdr:col>
      <xdr:colOff>85725</xdr:colOff>
      <xdr:row>53</xdr:row>
      <xdr:rowOff>123825</xdr:rowOff>
    </xdr:to>
    <xdr:pic>
      <xdr:nvPicPr>
        <xdr:cNvPr id="24008" name="Picture 37">
          <a:extLst>
            <a:ext uri="{FF2B5EF4-FFF2-40B4-BE49-F238E27FC236}">
              <a16:creationId xmlns:a16="http://schemas.microsoft.com/office/drawing/2014/main" id="{00000000-0008-0000-0100-0000C85D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57875" y="8934450"/>
          <a:ext cx="1762125" cy="1533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4</xdr:col>
          <xdr:colOff>0</xdr:colOff>
          <xdr:row>9</xdr:row>
          <xdr:rowOff>114300</xdr:rowOff>
        </xdr:from>
        <xdr:to>
          <xdr:col>7</xdr:col>
          <xdr:colOff>542925</xdr:colOff>
          <xdr:row>10</xdr:row>
          <xdr:rowOff>219075</xdr:rowOff>
        </xdr:to>
        <xdr:sp macro="" textlink="">
          <xdr:nvSpPr>
            <xdr:cNvPr id="23553" name="Drop Down 1" hidden="1">
              <a:extLst>
                <a:ext uri="{63B3BB69-23CF-44E3-9099-C40C66FF867C}">
                  <a14:compatExt spid="_x0000_s23553"/>
                </a:ext>
                <a:ext uri="{FF2B5EF4-FFF2-40B4-BE49-F238E27FC236}">
                  <a16:creationId xmlns:a16="http://schemas.microsoft.com/office/drawing/2014/main" id="{00000000-0008-0000-0100-000001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5</xdr:row>
          <xdr:rowOff>47625</xdr:rowOff>
        </xdr:from>
        <xdr:to>
          <xdr:col>5</xdr:col>
          <xdr:colOff>1238250</xdr:colOff>
          <xdr:row>6</xdr:row>
          <xdr:rowOff>152400</xdr:rowOff>
        </xdr:to>
        <xdr:sp macro="" textlink="">
          <xdr:nvSpPr>
            <xdr:cNvPr id="23554" name="Drop Down 2" hidden="1">
              <a:extLst>
                <a:ext uri="{63B3BB69-23CF-44E3-9099-C40C66FF867C}">
                  <a14:compatExt spid="_x0000_s23554"/>
                </a:ext>
                <a:ext uri="{FF2B5EF4-FFF2-40B4-BE49-F238E27FC236}">
                  <a16:creationId xmlns:a16="http://schemas.microsoft.com/office/drawing/2014/main" id="{00000000-0008-0000-0100-0000025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absolute">
    <xdr:from>
      <xdr:col>15</xdr:col>
      <xdr:colOff>552460</xdr:colOff>
      <xdr:row>7</xdr:row>
      <xdr:rowOff>133351</xdr:rowOff>
    </xdr:from>
    <xdr:to>
      <xdr:col>24</xdr:col>
      <xdr:colOff>1085849</xdr:colOff>
      <xdr:row>11</xdr:row>
      <xdr:rowOff>190501</xdr:rowOff>
    </xdr:to>
    <xdr:grpSp>
      <xdr:nvGrpSpPr>
        <xdr:cNvPr id="30185" name="Group 14">
          <a:extLst>
            <a:ext uri="{FF2B5EF4-FFF2-40B4-BE49-F238E27FC236}">
              <a16:creationId xmlns:a16="http://schemas.microsoft.com/office/drawing/2014/main" id="{00000000-0008-0000-0200-0000E9750000}"/>
            </a:ext>
          </a:extLst>
        </xdr:cNvPr>
        <xdr:cNvGrpSpPr>
          <a:grpSpLocks/>
        </xdr:cNvGrpSpPr>
      </xdr:nvGrpSpPr>
      <xdr:grpSpPr bwMode="auto">
        <a:xfrm>
          <a:off x="12411085" y="1466851"/>
          <a:ext cx="2400289" cy="923925"/>
          <a:chOff x="22688551" y="1336129"/>
          <a:chExt cx="1661361" cy="533578"/>
        </a:xfrm>
      </xdr:grpSpPr>
      <xdr:sp macro="" textlink="">
        <xdr:nvSpPr>
          <xdr:cNvPr id="3" name="TextBox 2">
            <a:extLst>
              <a:ext uri="{FF2B5EF4-FFF2-40B4-BE49-F238E27FC236}">
                <a16:creationId xmlns:a16="http://schemas.microsoft.com/office/drawing/2014/main" id="{00000000-0008-0000-0200-000003000000}"/>
              </a:ext>
            </a:extLst>
          </xdr:cNvPr>
          <xdr:cNvSpPr txBox="1"/>
        </xdr:nvSpPr>
        <xdr:spPr>
          <a:xfrm>
            <a:off x="22710050" y="1336129"/>
            <a:ext cx="1376701" cy="533578"/>
          </a:xfrm>
          <a:prstGeom prst="rect">
            <a:avLst/>
          </a:prstGeom>
          <a:solidFill>
            <a:schemeClr val="accent4">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N18">
        <xdr:nvSpPr>
          <xdr:cNvPr id="4" name="TextBox 3">
            <a:extLst>
              <a:ext uri="{FF2B5EF4-FFF2-40B4-BE49-F238E27FC236}">
                <a16:creationId xmlns:a16="http://schemas.microsoft.com/office/drawing/2014/main" id="{00000000-0008-0000-0200-000004000000}"/>
              </a:ext>
            </a:extLst>
          </xdr:cNvPr>
          <xdr:cNvSpPr txBox="1"/>
        </xdr:nvSpPr>
        <xdr:spPr>
          <a:xfrm>
            <a:off x="22688551" y="1388499"/>
            <a:ext cx="1414401" cy="14565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rIns="36000" bIns="0" rtlCol="0" anchor="t"/>
          <a:lstStyle/>
          <a:p>
            <a:pPr algn="l" rtl="0">
              <a:defRPr sz="1000"/>
            </a:pPr>
            <a:fld id="{098AC1F4-E8EC-49E4-8A13-DF3A69D92BF3}" type="TxLink">
              <a:rPr lang="en-GB" sz="900" b="1" i="0" u="none" strike="noStrike" baseline="0">
                <a:solidFill>
                  <a:srgbClr val="010000"/>
                </a:solidFill>
                <a:latin typeface="Arial"/>
                <a:cs typeface="Arial"/>
              </a:rPr>
              <a:pPr algn="l" rtl="0">
                <a:defRPr sz="1000"/>
              </a:pPr>
              <a:t>TYPE FIELD KEY</a:t>
            </a:fld>
            <a:endParaRPr lang="en-GB" sz="900" b="1" i="0" u="none" strike="noStrike" baseline="0">
              <a:solidFill>
                <a:srgbClr val="010000"/>
              </a:solidFill>
              <a:latin typeface="Arial"/>
              <a:cs typeface="Arial"/>
            </a:endParaRPr>
          </a:p>
        </xdr:txBody>
      </xdr:sp>
      <xdr:sp macro="" textlink="ValData!AN20">
        <xdr:nvSpPr>
          <xdr:cNvPr id="5" name="TextBox 4">
            <a:extLst>
              <a:ext uri="{FF2B5EF4-FFF2-40B4-BE49-F238E27FC236}">
                <a16:creationId xmlns:a16="http://schemas.microsoft.com/office/drawing/2014/main" id="{00000000-0008-0000-0200-000005000000}"/>
              </a:ext>
            </a:extLst>
          </xdr:cNvPr>
          <xdr:cNvSpPr txBox="1"/>
        </xdr:nvSpPr>
        <xdr:spPr>
          <a:xfrm>
            <a:off x="22710051" y="1539056"/>
            <a:ext cx="1493929" cy="9411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57173998-ACFE-43B7-AB04-F260EE593B5B}" type="TxLink">
              <a:rPr lang="en-GB" sz="900" b="1" i="0" u="none" strike="noStrike" baseline="0">
                <a:solidFill>
                  <a:srgbClr val="010000"/>
                </a:solidFill>
                <a:latin typeface="Arial"/>
                <a:cs typeface="Arial"/>
              </a:rPr>
              <a:pPr algn="l" rtl="0">
                <a:defRPr sz="1000"/>
              </a:pPr>
              <a:t>2.  % only breach</a:t>
            </a:fld>
            <a:endParaRPr lang="en-GB" sz="900" b="1" i="0" u="none" strike="noStrike" baseline="0">
              <a:solidFill>
                <a:srgbClr val="010000"/>
              </a:solidFill>
              <a:latin typeface="Arial"/>
              <a:cs typeface="Arial"/>
            </a:endParaRPr>
          </a:p>
        </xdr:txBody>
      </xdr:sp>
      <xdr:sp macro="" textlink="ValData!AN22">
        <xdr:nvSpPr>
          <xdr:cNvPr id="6" name="TextBox 5">
            <a:extLst>
              <a:ext uri="{FF2B5EF4-FFF2-40B4-BE49-F238E27FC236}">
                <a16:creationId xmlns:a16="http://schemas.microsoft.com/office/drawing/2014/main" id="{00000000-0008-0000-0200-000006000000}"/>
              </a:ext>
            </a:extLst>
          </xdr:cNvPr>
          <xdr:cNvSpPr txBox="1"/>
        </xdr:nvSpPr>
        <xdr:spPr>
          <a:xfrm>
            <a:off x="22710051" y="1656607"/>
            <a:ext cx="1397262" cy="11408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151B7261-5069-4303-A205-CF587C41CF7C}" type="TxLink">
              <a:rPr lang="en-GB" sz="900" b="1" i="0" u="none" strike="noStrike" baseline="0">
                <a:solidFill>
                  <a:srgbClr val="010000"/>
                </a:solidFill>
                <a:latin typeface="Arial"/>
                <a:cs typeface="Arial"/>
              </a:rPr>
              <a:pPr algn="l" rtl="0">
                <a:defRPr sz="1000"/>
              </a:pPr>
              <a:t>4. total not = zero</a:t>
            </a:fld>
            <a:endParaRPr lang="en-GB" sz="900" b="1" i="0" u="none" strike="noStrike" baseline="0">
              <a:solidFill>
                <a:srgbClr val="010000"/>
              </a:solidFill>
              <a:latin typeface="Arial"/>
              <a:cs typeface="Arial"/>
            </a:endParaRPr>
          </a:p>
        </xdr:txBody>
      </xdr:sp>
      <xdr:sp macro="" textlink="ValData!AN23">
        <xdr:nvSpPr>
          <xdr:cNvPr id="7" name="TextBox 6">
            <a:extLst>
              <a:ext uri="{FF2B5EF4-FFF2-40B4-BE49-F238E27FC236}">
                <a16:creationId xmlns:a16="http://schemas.microsoft.com/office/drawing/2014/main" id="{00000000-0008-0000-0200-000007000000}"/>
              </a:ext>
            </a:extLst>
          </xdr:cNvPr>
          <xdr:cNvSpPr txBox="1"/>
        </xdr:nvSpPr>
        <xdr:spPr>
          <a:xfrm>
            <a:off x="22721277" y="1758152"/>
            <a:ext cx="1628635" cy="8405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7CF0AD88-CAC6-4088-9C3F-C3A94B2ACFF5}" type="TxLink">
              <a:rPr lang="en-GB" sz="900" b="1" i="0" u="none" strike="noStrike" baseline="0">
                <a:solidFill>
                  <a:srgbClr val="010000"/>
                </a:solidFill>
                <a:latin typeface="Arial"/>
                <a:cs typeface="Arial"/>
              </a:rPr>
              <a:pPr algn="l" rtl="0">
                <a:defRPr sz="1000"/>
              </a:pPr>
              <a:t>9. either figure is zero</a:t>
            </a:fld>
            <a:endParaRPr lang="en-GB" sz="900" b="1" i="0" u="none" strike="noStrike" baseline="0">
              <a:solidFill>
                <a:srgbClr val="010000"/>
              </a:solidFill>
              <a:latin typeface="Arial"/>
              <a:cs typeface="Arial"/>
            </a:endParaRPr>
          </a:p>
        </xdr:txBody>
      </xdr:sp>
    </xdr:grpSp>
    <xdr:clientData/>
  </xdr:twoCellAnchor>
  <xdr:twoCellAnchor>
    <xdr:from>
      <xdr:col>15</xdr:col>
      <xdr:colOff>19049</xdr:colOff>
      <xdr:row>1</xdr:row>
      <xdr:rowOff>66675</xdr:rowOff>
    </xdr:from>
    <xdr:to>
      <xdr:col>24</xdr:col>
      <xdr:colOff>5410199</xdr:colOff>
      <xdr:row>5</xdr:row>
      <xdr:rowOff>142875</xdr:rowOff>
    </xdr:to>
    <xdr:grpSp>
      <xdr:nvGrpSpPr>
        <xdr:cNvPr id="30186" name="Group 1">
          <a:extLst>
            <a:ext uri="{FF2B5EF4-FFF2-40B4-BE49-F238E27FC236}">
              <a16:creationId xmlns:a16="http://schemas.microsoft.com/office/drawing/2014/main" id="{00000000-0008-0000-0200-0000EA750000}"/>
            </a:ext>
          </a:extLst>
        </xdr:cNvPr>
        <xdr:cNvGrpSpPr>
          <a:grpSpLocks/>
        </xdr:cNvGrpSpPr>
      </xdr:nvGrpSpPr>
      <xdr:grpSpPr bwMode="auto">
        <a:xfrm>
          <a:off x="11877674" y="257175"/>
          <a:ext cx="7258050" cy="838200"/>
          <a:chOff x="11725275" y="209550"/>
          <a:chExt cx="8512441" cy="969309"/>
        </a:xfrm>
      </xdr:grpSpPr>
      <xdr:sp macro="" textlink="">
        <xdr:nvSpPr>
          <xdr:cNvPr id="9" name="TextBox 8">
            <a:extLst>
              <a:ext uri="{FF2B5EF4-FFF2-40B4-BE49-F238E27FC236}">
                <a16:creationId xmlns:a16="http://schemas.microsoft.com/office/drawing/2014/main" id="{00000000-0008-0000-0200-000009000000}"/>
              </a:ext>
            </a:extLst>
          </xdr:cNvPr>
          <xdr:cNvSpPr txBox="1"/>
        </xdr:nvSpPr>
        <xdr:spPr bwMode="auto">
          <a:xfrm>
            <a:off x="11725275" y="209550"/>
            <a:ext cx="8512441" cy="969309"/>
          </a:xfrm>
          <a:prstGeom prst="rect">
            <a:avLst/>
          </a:prstGeom>
          <a:solidFill>
            <a:schemeClr val="lt1"/>
          </a:solidFill>
          <a:ln w="12700" cap="rnd"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noAutofit/>
          </a:bodyPr>
          <a:lstStyle/>
          <a:p>
            <a:endParaRPr lang="en-GB"/>
          </a:p>
        </xdr:txBody>
      </xdr:sp>
      <xdr:sp macro="" textlink="ValData!AN6" fLocksText="0">
        <xdr:nvSpPr>
          <xdr:cNvPr id="10" name="TextBox 9">
            <a:extLst>
              <a:ext uri="{FF2B5EF4-FFF2-40B4-BE49-F238E27FC236}">
                <a16:creationId xmlns:a16="http://schemas.microsoft.com/office/drawing/2014/main" id="{00000000-0008-0000-0200-00000A000000}"/>
              </a:ext>
            </a:extLst>
          </xdr:cNvPr>
          <xdr:cNvSpPr txBox="1"/>
        </xdr:nvSpPr>
        <xdr:spPr bwMode="auto">
          <a:xfrm>
            <a:off x="11779095" y="261663"/>
            <a:ext cx="8301530" cy="177186"/>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fld id="{02C5C7BD-C733-4E95-A44F-6CDAAB9BE0D1}" type="TxLink">
              <a:rPr lang="en-GB" sz="1000" b="0" i="0" u="none" strike="noStrike" baseline="0">
                <a:solidFill>
                  <a:srgbClr val="010000"/>
                </a:solidFill>
                <a:latin typeface="Arial"/>
                <a:cs typeface="Arial"/>
              </a:rPr>
              <a:pPr algn="l" rtl="0">
                <a:defRPr sz="1000"/>
              </a:pPr>
              <a:t>After completing the form - check any flagged figures (marked ‘1’ in the ‘Auto’ column) that are either outside tolerance (&gt;5%) or not equal to zero (see ‘Arithmetic Checks’ section)</a:t>
            </a:fld>
            <a:endParaRPr lang="en-GB" sz="1000" b="0" i="0" u="none" strike="noStrike" baseline="0">
              <a:solidFill>
                <a:srgbClr val="010000"/>
              </a:solidFill>
              <a:latin typeface="Arial"/>
              <a:cs typeface="Arial"/>
            </a:endParaRPr>
          </a:p>
        </xdr:txBody>
      </xdr:sp>
      <xdr:sp macro="" textlink="ValData!AN8" fLocksText="0">
        <xdr:nvSpPr>
          <xdr:cNvPr id="11" name="TextBox 10">
            <a:extLst>
              <a:ext uri="{FF2B5EF4-FFF2-40B4-BE49-F238E27FC236}">
                <a16:creationId xmlns:a16="http://schemas.microsoft.com/office/drawing/2014/main" id="{00000000-0008-0000-0200-00000B000000}"/>
              </a:ext>
            </a:extLst>
          </xdr:cNvPr>
          <xdr:cNvSpPr txBox="1"/>
        </xdr:nvSpPr>
        <xdr:spPr bwMode="auto">
          <a:xfrm>
            <a:off x="11785822" y="428426"/>
            <a:ext cx="7379885" cy="166763"/>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fld id="{D7E29EE8-6EC0-41CA-90B5-7B9EF5E84C1D}" type="TxLink">
              <a:rPr lang="en-GB" sz="1000" b="0" i="0" u="none" strike="noStrike" baseline="0">
                <a:solidFill>
                  <a:srgbClr val="010000"/>
                </a:solidFill>
                <a:latin typeface="Arial"/>
                <a:cs typeface="Arial"/>
              </a:rPr>
              <a:pPr algn="l" rtl="0">
                <a:defRPr sz="1000"/>
              </a:pPr>
              <a:t>If you wish to add supporting information to any row please put it in ‘Your Comments’, otherwise an email confirming that you are happy with the figures will do. </a:t>
            </a:fld>
            <a:endParaRPr lang="en-GB" sz="1000" b="0" i="0" u="none" strike="noStrike" baseline="0">
              <a:solidFill>
                <a:srgbClr val="010000"/>
              </a:solidFill>
              <a:latin typeface="Arial"/>
              <a:cs typeface="Arial"/>
            </a:endParaRPr>
          </a:p>
        </xdr:txBody>
      </xdr:sp>
      <xdr:sp macro="" textlink="ValData!AN9" fLocksText="0">
        <xdr:nvSpPr>
          <xdr:cNvPr id="12" name="TextBox 11">
            <a:extLst>
              <a:ext uri="{FF2B5EF4-FFF2-40B4-BE49-F238E27FC236}">
                <a16:creationId xmlns:a16="http://schemas.microsoft.com/office/drawing/2014/main" id="{00000000-0008-0000-0200-00000C000000}"/>
              </a:ext>
            </a:extLst>
          </xdr:cNvPr>
          <xdr:cNvSpPr txBox="1"/>
        </xdr:nvSpPr>
        <xdr:spPr bwMode="auto">
          <a:xfrm>
            <a:off x="11792549" y="595189"/>
            <a:ext cx="7514432" cy="1980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pPr algn="l" rtl="0">
              <a:defRPr sz="1000"/>
            </a:pPr>
            <a:fld id="{DC838AFD-666C-4760-A4A6-F503A971E8AB}" type="TxLink">
              <a:rPr lang="en-GB" sz="1000" b="0" i="0" u="none" strike="noStrike" baseline="0">
                <a:solidFill>
                  <a:srgbClr val="010000"/>
                </a:solidFill>
                <a:latin typeface="Arial"/>
                <a:cs typeface="Arial"/>
              </a:rPr>
              <a:pPr algn="l" rtl="0">
                <a:defRPr sz="1000"/>
              </a:pPr>
              <a:t>After receiving the completed form - we will mark any rows that we think need to be cleared using the 'Check' column along with adding any comments and/or</a:t>
            </a:fld>
            <a:endParaRPr lang="en-GB" sz="1000" b="0" i="0" u="none" strike="noStrike" baseline="0">
              <a:solidFill>
                <a:srgbClr val="010000"/>
              </a:solidFill>
              <a:latin typeface="Arial"/>
              <a:cs typeface="Arial"/>
            </a:endParaRPr>
          </a:p>
        </xdr:txBody>
      </xdr:sp>
      <xdr:sp macro="" textlink="ValData!AN11" fLocksText="0">
        <xdr:nvSpPr>
          <xdr:cNvPr id="13" name="TextBox 12">
            <a:extLst>
              <a:ext uri="{FF2B5EF4-FFF2-40B4-BE49-F238E27FC236}">
                <a16:creationId xmlns:a16="http://schemas.microsoft.com/office/drawing/2014/main" id="{00000000-0008-0000-0200-00000D000000}"/>
              </a:ext>
            </a:extLst>
          </xdr:cNvPr>
          <xdr:cNvSpPr txBox="1"/>
        </xdr:nvSpPr>
        <xdr:spPr bwMode="auto">
          <a:xfrm>
            <a:off x="11785822" y="939137"/>
            <a:ext cx="7440431" cy="198031"/>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rtl="0">
              <a:defRPr sz="1000"/>
            </a:pPr>
            <a:fld id="{36E0DDC9-1C61-414D-9CAB-109216AA0A00}" type="TxLink">
              <a:rPr lang="en-GB" sz="1000" b="0" i="0" u="none" strike="noStrike" baseline="0">
                <a:solidFill>
                  <a:srgbClr val="010000"/>
                </a:solidFill>
                <a:latin typeface="Arial"/>
                <a:cs typeface="Arial"/>
              </a:rPr>
              <a:pPr algn="l" rtl="0">
                <a:defRPr sz="1000"/>
              </a:pPr>
              <a:t>Any cleared item swill be marked 'C' in the 'Status' column (column AA).</a:t>
            </a:fld>
            <a:endParaRPr lang="en-GB" sz="1000" b="0" i="0" u="none" strike="noStrike" baseline="0">
              <a:solidFill>
                <a:srgbClr val="010000"/>
              </a:solidFill>
              <a:latin typeface="Arial"/>
              <a:cs typeface="Arial"/>
            </a:endParaRPr>
          </a:p>
        </xdr:txBody>
      </xdr:sp>
      <xdr:sp macro="" textlink="ValData!AN10" fLocksText="0">
        <xdr:nvSpPr>
          <xdr:cNvPr id="14" name="TextBox 13">
            <a:extLst>
              <a:ext uri="{FF2B5EF4-FFF2-40B4-BE49-F238E27FC236}">
                <a16:creationId xmlns:a16="http://schemas.microsoft.com/office/drawing/2014/main" id="{00000000-0008-0000-0200-00000E000000}"/>
              </a:ext>
            </a:extLst>
          </xdr:cNvPr>
          <xdr:cNvSpPr txBox="1"/>
        </xdr:nvSpPr>
        <xdr:spPr bwMode="auto">
          <a:xfrm>
            <a:off x="11779095" y="772375"/>
            <a:ext cx="6713879" cy="156340"/>
          </a:xfrm>
          <a:prstGeom prst="rect">
            <a:avLst/>
          </a:prstGeom>
          <a:solidFill>
            <a:schemeClr val="lt1"/>
          </a:solidFill>
          <a:ln w="0"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0" rIns="36000" bIns="0" rtlCol="0" anchor="t"/>
          <a:lstStyle/>
          <a:p>
            <a:pPr algn="l" rtl="0">
              <a:defRPr sz="1000"/>
            </a:pPr>
            <a:fld id="{4C455D15-27FD-4078-A27A-FCE5CB2D4362}" type="TxLink">
              <a:rPr lang="en-GB" sz="1000" b="0" i="0" u="none" strike="noStrike" baseline="0">
                <a:solidFill>
                  <a:srgbClr val="010000"/>
                </a:solidFill>
                <a:latin typeface="Arial"/>
                <a:cs typeface="Arial"/>
              </a:rPr>
              <a:pPr algn="l" rtl="0">
                <a:defRPr sz="1000"/>
              </a:pPr>
              <a:t>any relevant previous comments provided by your authority in the 'Our Comments' column. We may ask you for further information if required. </a:t>
            </a:fld>
            <a:endParaRPr lang="en-GB" sz="1000" b="0" i="0" u="none" strike="noStrike" baseline="0">
              <a:solidFill>
                <a:srgbClr val="010000"/>
              </a:solidFill>
              <a:latin typeface="Arial"/>
              <a:cs typeface="Arial"/>
            </a:endParaRPr>
          </a:p>
        </xdr:txBody>
      </xdr:sp>
    </xdr:grpSp>
    <xdr:clientData/>
  </xdr:twoCellAnchor>
  <xdr:twoCellAnchor editAs="absolute">
    <xdr:from>
      <xdr:col>24</xdr:col>
      <xdr:colOff>990595</xdr:colOff>
      <xdr:row>7</xdr:row>
      <xdr:rowOff>85725</xdr:rowOff>
    </xdr:from>
    <xdr:to>
      <xdr:col>24</xdr:col>
      <xdr:colOff>3076569</xdr:colOff>
      <xdr:row>11</xdr:row>
      <xdr:rowOff>257175</xdr:rowOff>
    </xdr:to>
    <xdr:grpSp>
      <xdr:nvGrpSpPr>
        <xdr:cNvPr id="30187" name="Group 24">
          <a:extLst>
            <a:ext uri="{FF2B5EF4-FFF2-40B4-BE49-F238E27FC236}">
              <a16:creationId xmlns:a16="http://schemas.microsoft.com/office/drawing/2014/main" id="{00000000-0008-0000-0200-0000EB750000}"/>
            </a:ext>
          </a:extLst>
        </xdr:cNvPr>
        <xdr:cNvGrpSpPr>
          <a:grpSpLocks/>
        </xdr:cNvGrpSpPr>
      </xdr:nvGrpSpPr>
      <xdr:grpSpPr bwMode="auto">
        <a:xfrm>
          <a:off x="14716120" y="1419225"/>
          <a:ext cx="2085974" cy="1038225"/>
          <a:chOff x="19831047" y="191775"/>
          <a:chExt cx="1606178" cy="1062082"/>
        </a:xfrm>
      </xdr:grpSpPr>
      <xdr:sp macro="" textlink="">
        <xdr:nvSpPr>
          <xdr:cNvPr id="16" name="TextBox 15">
            <a:extLst>
              <a:ext uri="{FF2B5EF4-FFF2-40B4-BE49-F238E27FC236}">
                <a16:creationId xmlns:a16="http://schemas.microsoft.com/office/drawing/2014/main" id="{00000000-0008-0000-0200-000010000000}"/>
              </a:ext>
            </a:extLst>
          </xdr:cNvPr>
          <xdr:cNvSpPr txBox="1"/>
        </xdr:nvSpPr>
        <xdr:spPr>
          <a:xfrm>
            <a:off x="19831047" y="191775"/>
            <a:ext cx="1606178" cy="1062082"/>
          </a:xfrm>
          <a:prstGeom prst="rect">
            <a:avLst/>
          </a:prstGeom>
          <a:solidFill>
            <a:schemeClr val="accent6">
              <a:lumMod val="40000"/>
              <a:lumOff val="60000"/>
            </a:schemeClr>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sp macro="" textlink="ValData!AN12">
        <xdr:nvSpPr>
          <xdr:cNvPr id="17" name="TextBox 16">
            <a:extLst>
              <a:ext uri="{FF2B5EF4-FFF2-40B4-BE49-F238E27FC236}">
                <a16:creationId xmlns:a16="http://schemas.microsoft.com/office/drawing/2014/main" id="{00000000-0008-0000-0200-000011000000}"/>
              </a:ext>
            </a:extLst>
          </xdr:cNvPr>
          <xdr:cNvSpPr txBox="1"/>
        </xdr:nvSpPr>
        <xdr:spPr>
          <a:xfrm>
            <a:off x="19843933" y="241275"/>
            <a:ext cx="1436801" cy="164865"/>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5E971DE5-208C-4AB9-A39D-53D996BEA467}" type="TxLink">
              <a:rPr lang="en-GB" sz="900" b="1" i="0" u="none" strike="noStrike" baseline="0">
                <a:solidFill>
                  <a:srgbClr val="010000"/>
                </a:solidFill>
                <a:latin typeface="Arial"/>
                <a:cs typeface="Arial"/>
              </a:rPr>
              <a:pPr algn="l" rtl="0">
                <a:defRPr sz="1000"/>
              </a:pPr>
              <a:t>STATUS FIELD KEY</a:t>
            </a:fld>
            <a:endParaRPr lang="en-GB" sz="900" b="1" i="0" u="none" strike="noStrike" baseline="0">
              <a:solidFill>
                <a:srgbClr val="010000"/>
              </a:solidFill>
              <a:latin typeface="Arial"/>
              <a:cs typeface="Arial"/>
            </a:endParaRPr>
          </a:p>
        </xdr:txBody>
      </xdr:sp>
      <xdr:sp macro="" textlink="ValData!AN13">
        <xdr:nvSpPr>
          <xdr:cNvPr id="18" name="TextBox 17">
            <a:extLst>
              <a:ext uri="{FF2B5EF4-FFF2-40B4-BE49-F238E27FC236}">
                <a16:creationId xmlns:a16="http://schemas.microsoft.com/office/drawing/2014/main" id="{00000000-0008-0000-0200-000012000000}"/>
              </a:ext>
            </a:extLst>
          </xdr:cNvPr>
          <xdr:cNvSpPr txBox="1"/>
        </xdr:nvSpPr>
        <xdr:spPr>
          <a:xfrm>
            <a:off x="19843934" y="431287"/>
            <a:ext cx="1494448" cy="1599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286AF76E-8E37-41EC-940D-1446E154E171}" type="TxLink">
              <a:rPr lang="en-GB" sz="900" b="1" i="0" u="none" strike="noStrike" baseline="0">
                <a:solidFill>
                  <a:srgbClr val="010000"/>
                </a:solidFill>
                <a:latin typeface="Arial"/>
                <a:cs typeface="Arial"/>
              </a:rPr>
              <a:pPr algn="l" rtl="0">
                <a:defRPr sz="1000"/>
              </a:pPr>
              <a:t>A - to be actioned by WG</a:t>
            </a:fld>
            <a:endParaRPr lang="en-GB" sz="900" b="1" i="0" u="none" strike="noStrike" baseline="0">
              <a:solidFill>
                <a:srgbClr val="010000"/>
              </a:solidFill>
              <a:latin typeface="Arial"/>
              <a:cs typeface="Arial"/>
            </a:endParaRPr>
          </a:p>
        </xdr:txBody>
      </xdr:sp>
      <xdr:sp macro="" textlink="ValData!AN14">
        <xdr:nvSpPr>
          <xdr:cNvPr id="19" name="TextBox 18">
            <a:extLst>
              <a:ext uri="{FF2B5EF4-FFF2-40B4-BE49-F238E27FC236}">
                <a16:creationId xmlns:a16="http://schemas.microsoft.com/office/drawing/2014/main" id="{00000000-0008-0000-0200-000013000000}"/>
              </a:ext>
            </a:extLst>
          </xdr:cNvPr>
          <xdr:cNvSpPr txBox="1"/>
        </xdr:nvSpPr>
        <xdr:spPr>
          <a:xfrm>
            <a:off x="19843933" y="592970"/>
            <a:ext cx="1469737" cy="12378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FA710B93-D60D-4151-9378-845F74DA00E3}" type="TxLink">
              <a:rPr lang="en-GB" sz="900" b="1" i="0" u="none" strike="noStrike" baseline="0">
                <a:solidFill>
                  <a:srgbClr val="010000"/>
                </a:solidFill>
                <a:latin typeface="Arial"/>
                <a:cs typeface="Arial"/>
              </a:rPr>
              <a:pPr algn="l" rtl="0">
                <a:defRPr sz="1000"/>
              </a:pPr>
              <a:t>C - Cleared</a:t>
            </a:fld>
            <a:endParaRPr lang="en-GB" sz="900" b="1" i="0" u="none" strike="noStrike" baseline="0">
              <a:solidFill>
                <a:srgbClr val="010000"/>
              </a:solidFill>
              <a:latin typeface="Arial"/>
              <a:cs typeface="Arial"/>
            </a:endParaRPr>
          </a:p>
        </xdr:txBody>
      </xdr:sp>
      <xdr:sp macro="" textlink="ValData!AN15">
        <xdr:nvSpPr>
          <xdr:cNvPr id="20" name="TextBox 19">
            <a:extLst>
              <a:ext uri="{FF2B5EF4-FFF2-40B4-BE49-F238E27FC236}">
                <a16:creationId xmlns:a16="http://schemas.microsoft.com/office/drawing/2014/main" id="{00000000-0008-0000-0200-000014000000}"/>
              </a:ext>
            </a:extLst>
          </xdr:cNvPr>
          <xdr:cNvSpPr txBox="1"/>
        </xdr:nvSpPr>
        <xdr:spPr>
          <a:xfrm>
            <a:off x="19843934" y="737702"/>
            <a:ext cx="1445031" cy="12640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6CA4FB32-F189-49B0-B83C-C62E140F1327}" type="TxLink">
              <a:rPr lang="en-GB" sz="900" b="1" i="0" u="none" strike="noStrike" baseline="0">
                <a:solidFill>
                  <a:srgbClr val="010000"/>
                </a:solidFill>
                <a:latin typeface="Arial"/>
                <a:cs typeface="Arial"/>
              </a:rPr>
              <a:pPr algn="l" rtl="0">
                <a:defRPr sz="1000"/>
              </a:pPr>
              <a:t>NB - Important</a:t>
            </a:fld>
            <a:endParaRPr lang="en-GB" sz="900" b="1" i="0" u="none" strike="noStrike" baseline="0">
              <a:solidFill>
                <a:srgbClr val="010000"/>
              </a:solidFill>
              <a:latin typeface="Arial"/>
              <a:cs typeface="Arial"/>
            </a:endParaRPr>
          </a:p>
        </xdr:txBody>
      </xdr:sp>
      <xdr:sp macro="" textlink="ValData!AN16">
        <xdr:nvSpPr>
          <xdr:cNvPr id="21" name="TextBox 20">
            <a:extLst>
              <a:ext uri="{FF2B5EF4-FFF2-40B4-BE49-F238E27FC236}">
                <a16:creationId xmlns:a16="http://schemas.microsoft.com/office/drawing/2014/main" id="{00000000-0008-0000-0200-000015000000}"/>
              </a:ext>
            </a:extLst>
          </xdr:cNvPr>
          <xdr:cNvSpPr txBox="1"/>
        </xdr:nvSpPr>
        <xdr:spPr>
          <a:xfrm>
            <a:off x="19852170" y="897454"/>
            <a:ext cx="1453267" cy="1517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CA24830E-D72B-4918-BA32-42B9F19B03B5}" type="TxLink">
              <a:rPr lang="en-GB" sz="900" b="1" i="0" u="none" strike="noStrike" baseline="0">
                <a:solidFill>
                  <a:srgbClr val="010000"/>
                </a:solidFill>
                <a:latin typeface="Arial"/>
                <a:cs typeface="Arial"/>
              </a:rPr>
              <a:pPr algn="l" rtl="0">
                <a:defRPr sz="1000"/>
              </a:pPr>
              <a:t>U - Unresolved</a:t>
            </a:fld>
            <a:endParaRPr lang="en-GB" sz="900" b="1" i="0" u="none" strike="noStrike" baseline="0">
              <a:solidFill>
                <a:srgbClr val="010000"/>
              </a:solidFill>
              <a:latin typeface="Arial"/>
              <a:cs typeface="Arial"/>
            </a:endParaRPr>
          </a:p>
        </xdr:txBody>
      </xdr:sp>
      <xdr:sp macro="" textlink="ValData!AN17">
        <xdr:nvSpPr>
          <xdr:cNvPr id="22" name="TextBox 21">
            <a:extLst>
              <a:ext uri="{FF2B5EF4-FFF2-40B4-BE49-F238E27FC236}">
                <a16:creationId xmlns:a16="http://schemas.microsoft.com/office/drawing/2014/main" id="{00000000-0008-0000-0200-000016000000}"/>
              </a:ext>
            </a:extLst>
          </xdr:cNvPr>
          <xdr:cNvSpPr txBox="1"/>
        </xdr:nvSpPr>
        <xdr:spPr>
          <a:xfrm>
            <a:off x="19852171" y="1041144"/>
            <a:ext cx="1552113" cy="144506"/>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t"/>
          <a:lstStyle/>
          <a:p>
            <a:pPr algn="l" rtl="0">
              <a:defRPr sz="1000"/>
            </a:pPr>
            <a:fld id="{BDE1F4F2-E478-4CE4-985D-B273023792BA}" type="TxLink">
              <a:rPr lang="en-GB" sz="900" b="1" i="0" u="none" strike="noStrike" baseline="0">
                <a:solidFill>
                  <a:srgbClr val="010000"/>
                </a:solidFill>
                <a:latin typeface="Arial"/>
                <a:cs typeface="Arial"/>
              </a:rPr>
              <a:pPr algn="l" rtl="0">
                <a:defRPr sz="1000"/>
              </a:pPr>
              <a:t>W - Waiting for action from LA</a:t>
            </a:fld>
            <a:endParaRPr lang="en-GB" sz="900" b="1" i="0" u="none" strike="noStrike" baseline="0">
              <a:solidFill>
                <a:srgbClr val="010000"/>
              </a:solidFill>
              <a:latin typeface="Arial"/>
              <a:cs typeface="Arial"/>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19050</xdr:colOff>
      <xdr:row>14</xdr:row>
      <xdr:rowOff>1</xdr:rowOff>
    </xdr:from>
    <xdr:to>
      <xdr:col>12</xdr:col>
      <xdr:colOff>85725</xdr:colOff>
      <xdr:row>20</xdr:row>
      <xdr:rowOff>28576</xdr:rowOff>
    </xdr:to>
    <xdr:sp macro="" textlink="" fLocksText="0">
      <xdr:nvSpPr>
        <xdr:cNvPr id="2" name="Text Box 4">
          <a:extLst>
            <a:ext uri="{FF2B5EF4-FFF2-40B4-BE49-F238E27FC236}">
              <a16:creationId xmlns:a16="http://schemas.microsoft.com/office/drawing/2014/main" id="{00000000-0008-0000-0300-000002000000}"/>
            </a:ext>
          </a:extLst>
        </xdr:cNvPr>
        <xdr:cNvSpPr txBox="1">
          <a:spLocks noChangeArrowheads="1"/>
        </xdr:cNvSpPr>
      </xdr:nvSpPr>
      <xdr:spPr bwMode="auto">
        <a:xfrm>
          <a:off x="1057275" y="3181351"/>
          <a:ext cx="6486525" cy="1171575"/>
        </a:xfrm>
        <a:prstGeom prst="rect">
          <a:avLst/>
        </a:prstGeom>
        <a:solidFill>
          <a:srgbClr val="FFFFFF"/>
        </a:solidFill>
        <a:ln w="9525">
          <a:solidFill>
            <a:srgbClr val="000000"/>
          </a:solidFill>
          <a:miter lim="800000"/>
          <a:headEnd/>
          <a:tailEnd/>
        </a:ln>
      </xdr:spPr>
      <xdr:txBody>
        <a:bodyPr/>
        <a:lstStyle/>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19050</xdr:colOff>
      <xdr:row>5</xdr:row>
      <xdr:rowOff>190499</xdr:rowOff>
    </xdr:from>
    <xdr:to>
      <xdr:col>10</xdr:col>
      <xdr:colOff>0</xdr:colOff>
      <xdr:row>12</xdr:row>
      <xdr:rowOff>142874</xdr:rowOff>
    </xdr:to>
    <xdr:sp macro="" textlink="" fLocksText="0">
      <xdr:nvSpPr>
        <xdr:cNvPr id="2" name="Text Box 1">
          <a:extLst>
            <a:ext uri="{FF2B5EF4-FFF2-40B4-BE49-F238E27FC236}">
              <a16:creationId xmlns:a16="http://schemas.microsoft.com/office/drawing/2014/main" id="{00000000-0008-0000-0400-000002000000}"/>
            </a:ext>
          </a:extLst>
        </xdr:cNvPr>
        <xdr:cNvSpPr txBox="1">
          <a:spLocks noChangeAspect="1" noChangeArrowheads="1"/>
        </xdr:cNvSpPr>
      </xdr:nvSpPr>
      <xdr:spPr bwMode="auto">
        <a:xfrm>
          <a:off x="1047750" y="1609724"/>
          <a:ext cx="6124575" cy="128587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1</xdr:col>
      <xdr:colOff>257175</xdr:colOff>
      <xdr:row>32</xdr:row>
      <xdr:rowOff>180975</xdr:rowOff>
    </xdr:from>
    <xdr:to>
      <xdr:col>9</xdr:col>
      <xdr:colOff>561975</xdr:colOff>
      <xdr:row>39</xdr:row>
      <xdr:rowOff>152400</xdr:rowOff>
    </xdr:to>
    <xdr:sp macro="" textlink="" fLocksText="0">
      <xdr:nvSpPr>
        <xdr:cNvPr id="3" name="Text Box 4">
          <a:extLst>
            <a:ext uri="{FF2B5EF4-FFF2-40B4-BE49-F238E27FC236}">
              <a16:creationId xmlns:a16="http://schemas.microsoft.com/office/drawing/2014/main" id="{00000000-0008-0000-0400-000003000000}"/>
            </a:ext>
          </a:extLst>
        </xdr:cNvPr>
        <xdr:cNvSpPr txBox="1">
          <a:spLocks noChangeArrowheads="1"/>
        </xdr:cNvSpPr>
      </xdr:nvSpPr>
      <xdr:spPr bwMode="auto">
        <a:xfrm>
          <a:off x="1019175" y="6743700"/>
          <a:ext cx="6124575" cy="13049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lIns="28800" tIns="0"/>
        <a:lstStyle/>
        <a:p>
          <a:endParaRPr lang="en-GB"/>
        </a:p>
      </xdr:txBody>
    </xdr:sp>
    <xdr:clientData/>
  </xdr:twoCellAnchor>
  <xdr:twoCellAnchor>
    <xdr:from>
      <xdr:col>2</xdr:col>
      <xdr:colOff>28575</xdr:colOff>
      <xdr:row>3</xdr:row>
      <xdr:rowOff>38100</xdr:rowOff>
    </xdr:from>
    <xdr:to>
      <xdr:col>9</xdr:col>
      <xdr:colOff>600075</xdr:colOff>
      <xdr:row>3</xdr:row>
      <xdr:rowOff>590550</xdr:rowOff>
    </xdr:to>
    <xdr:sp macro="" textlink="Text!F78">
      <xdr:nvSpPr>
        <xdr:cNvPr id="4" name="Text Box 5">
          <a:extLst>
            <a:ext uri="{FF2B5EF4-FFF2-40B4-BE49-F238E27FC236}">
              <a16:creationId xmlns:a16="http://schemas.microsoft.com/office/drawing/2014/main" id="{00000000-0008-0000-0400-000004000000}"/>
            </a:ext>
          </a:extLst>
        </xdr:cNvPr>
        <xdr:cNvSpPr txBox="1">
          <a:spLocks noChangeAspect="1" noChangeArrowheads="1"/>
        </xdr:cNvSpPr>
      </xdr:nvSpPr>
      <xdr:spPr bwMode="auto">
        <a:xfrm>
          <a:off x="466725" y="800100"/>
          <a:ext cx="5362575" cy="552450"/>
        </a:xfrm>
        <a:prstGeom prst="rect">
          <a:avLst/>
        </a:prstGeom>
        <a:solidFill>
          <a:srgbClr xmlns:mc="http://schemas.openxmlformats.org/markup-compatibility/2006" xmlns:a14="http://schemas.microsoft.com/office/drawing/2010/main" val="E5F5FF" mc:Ignorable="a14" a14:legacySpreadsheetColorIndex="23"/>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fld id="{04DE3E4F-6EB4-4C41-8D8F-612781486E65}" type="TxLink">
            <a:rPr lang="en-GB" sz="1000" b="0" i="0" u="none" strike="noStrike" baseline="0">
              <a:solidFill>
                <a:srgbClr val="010000"/>
              </a:solidFill>
              <a:latin typeface="Arial"/>
              <a:cs typeface="Arial"/>
            </a:rPr>
            <a:pPr algn="l" rtl="0">
              <a:defRPr sz="1000"/>
            </a:pPr>
            <a:t>We are continually striving to improve the form to make it easier to complete, whilst still ensuring data integrity and consistency across all authorities. If you have any comments or suggestions that may be useful,  please note them below:</a:t>
          </a:fld>
          <a:endParaRPr lang="en-GB" sz="1000" b="0" i="0" u="none" strike="noStrike" baseline="0">
            <a:solidFill>
              <a:srgbClr val="010000"/>
            </a:solidFill>
            <a:latin typeface="Arial"/>
            <a:cs typeface="Arial"/>
          </a:endParaRPr>
        </a:p>
      </xdr:txBody>
    </xdr:sp>
    <xdr:clientData/>
  </xdr:twoCellAnchor>
  <xdr:twoCellAnchor>
    <xdr:from>
      <xdr:col>2</xdr:col>
      <xdr:colOff>9525</xdr:colOff>
      <xdr:row>15</xdr:row>
      <xdr:rowOff>19050</xdr:rowOff>
    </xdr:from>
    <xdr:to>
      <xdr:col>9</xdr:col>
      <xdr:colOff>581025</xdr:colOff>
      <xdr:row>21</xdr:row>
      <xdr:rowOff>171450</xdr:rowOff>
    </xdr:to>
    <xdr:sp macro="" textlink="" fLocksText="0">
      <xdr:nvSpPr>
        <xdr:cNvPr id="5" name="Text Box 1">
          <a:extLst>
            <a:ext uri="{FF2B5EF4-FFF2-40B4-BE49-F238E27FC236}">
              <a16:creationId xmlns:a16="http://schemas.microsoft.com/office/drawing/2014/main" id="{00000000-0008-0000-0400-000005000000}"/>
            </a:ext>
          </a:extLst>
        </xdr:cNvPr>
        <xdr:cNvSpPr txBox="1">
          <a:spLocks noChangeAspect="1" noChangeArrowheads="1"/>
        </xdr:cNvSpPr>
      </xdr:nvSpPr>
      <xdr:spPr bwMode="auto">
        <a:xfrm>
          <a:off x="1038225" y="3457575"/>
          <a:ext cx="6124575" cy="1295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twoCellAnchor>
    <xdr:from>
      <xdr:col>2</xdr:col>
      <xdr:colOff>0</xdr:colOff>
      <xdr:row>24</xdr:row>
      <xdr:rowOff>0</xdr:rowOff>
    </xdr:from>
    <xdr:to>
      <xdr:col>9</xdr:col>
      <xdr:colOff>571500</xdr:colOff>
      <xdr:row>30</xdr:row>
      <xdr:rowOff>152400</xdr:rowOff>
    </xdr:to>
    <xdr:sp macro="" textlink="" fLocksText="0">
      <xdr:nvSpPr>
        <xdr:cNvPr id="6" name="Text Box 1">
          <a:extLst>
            <a:ext uri="{FF2B5EF4-FFF2-40B4-BE49-F238E27FC236}">
              <a16:creationId xmlns:a16="http://schemas.microsoft.com/office/drawing/2014/main" id="{00000000-0008-0000-0400-000006000000}"/>
            </a:ext>
          </a:extLst>
        </xdr:cNvPr>
        <xdr:cNvSpPr txBox="1">
          <a:spLocks noChangeAspect="1" noChangeArrowheads="1"/>
        </xdr:cNvSpPr>
      </xdr:nvSpPr>
      <xdr:spPr bwMode="auto">
        <a:xfrm>
          <a:off x="1028700" y="5038725"/>
          <a:ext cx="6124575" cy="1295400"/>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22860" rIns="0" bIns="0" anchor="t" upright="1"/>
        <a:lstStyle/>
        <a:p>
          <a:pPr algn="l" rtl="0">
            <a:defRPr sz="1000"/>
          </a:pPr>
          <a:endParaRPr lang="en-GB" sz="1000" b="0" i="0" u="none" strike="noStrike" baseline="0">
            <a:solidFill>
              <a:srgbClr val="010000"/>
            </a:solidFill>
            <a:latin typeface="Arial"/>
            <a:cs typeface="Arial"/>
          </a:endParaRPr>
        </a:p>
      </xdr:txBody>
    </xdr: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Kelly, Frank (KAS)" refreshedDate="45321.652032060185" createdVersion="4" refreshedVersion="8" recordCount="23" xr:uid="{00000000-000A-0000-FFFF-FFFF0E000000}">
  <cacheSource type="external" connectionId="2"/>
  <cacheFields count="10">
    <cacheField name="AuthCode" numFmtId="0" sqlType="4">
      <sharedItems containsSemiMixedTypes="0" containsString="0" containsNumber="1" containsInteger="1" minValue="512" maxValue="600" count="38">
        <n v="596"/>
        <n v="552"/>
        <n v="550"/>
        <n v="548"/>
        <n v="546"/>
        <n v="545"/>
        <n v="544"/>
        <n v="542"/>
        <n v="540"/>
        <n v="538"/>
        <n v="536"/>
        <n v="534"/>
        <n v="532"/>
        <n v="530"/>
        <n v="528"/>
        <n v="526"/>
        <n v="524"/>
        <n v="522"/>
        <n v="520"/>
        <n v="518"/>
        <n v="516"/>
        <n v="514"/>
        <n v="512"/>
        <n v="568" u="1"/>
        <n v="600" u="1"/>
        <n v="574" u="1"/>
        <n v="599" u="1"/>
        <n v="586" u="1"/>
        <n v="566" u="1"/>
        <n v="598" u="1"/>
        <n v="572" u="1"/>
        <n v="597" u="1"/>
        <n v="584" u="1"/>
        <n v="564" u="1"/>
        <n v="576" u="1"/>
        <n v="595" u="1"/>
        <n v="582" u="1"/>
        <n v="562" u="1"/>
      </sharedItems>
    </cacheField>
    <cacheField name="Authority name" numFmtId="0" sqlType="-9">
      <sharedItems count="38">
        <s v="Total Unitary Authorities"/>
        <s v="Cardiff"/>
        <s v="Newport"/>
        <s v="Monmouthshire"/>
        <s v="Torfaen"/>
        <s v="Blaenau Gwent"/>
        <s v="Caerphilly"/>
        <s v="Merthyr Tydfil"/>
        <s v="Rhondda Cynon Taf"/>
        <s v="Vale of Glamorgan"/>
        <s v="Bridgend"/>
        <s v="Neath Port Talbot"/>
        <s v="Swansea"/>
        <s v="Carmarthenshire"/>
        <s v="Pembrokeshire"/>
        <s v="Ceredigion"/>
        <s v="Powys"/>
        <s v="Wrexham"/>
        <s v="Flintshire"/>
        <s v="Denbighshire"/>
        <s v="Conwy"/>
        <s v="Gwynedd"/>
        <s v="Isle of Anglesey"/>
        <s v="Pembrokeshire Coast NPA" u="1"/>
        <s v="Total Wales" u="1"/>
        <s v="North Wales Fire Authority" u="1"/>
        <s v="Brecon Beacons NPA" u="1"/>
        <s v="South Wales Fire Authority" u="1"/>
        <s v="Total National Park Authorities" u="1"/>
        <s v="Total Fire Authorities" u="1"/>
        <s v="Total Police Authorities" u="1"/>
        <s v="Mid and West Wales Fire Authority" u="1"/>
        <s v="Gwent Police Authority" u="1"/>
        <s v="North Wales Police Authority" u="1"/>
        <s v="Snowdonia NPA" u="1"/>
        <s v="Dyfed Powys Police Authority" u="1"/>
        <s v="Total Wales (exc NPAs)" u="1"/>
        <s v="South Wales Police Authority" u="1"/>
      </sharedItems>
    </cacheField>
    <cacheField name="Authority name Welsh" numFmtId="0" sqlType="-9">
      <sharedItems count="23">
        <s v="Cyfanswm Awdurdodau Unedol"/>
        <s v="Caerdydd"/>
        <s v="Casnewydd"/>
        <s v="Sir Fynwy"/>
        <s v="Torfaen"/>
        <s v="Blaenau Gwent"/>
        <s v="Caerffili"/>
        <s v="Merthyr Tudful"/>
        <s v="Rhondda Cynon Taf"/>
        <s v="Bro Morgannwg"/>
        <s v="Pen-y-bont ar Ogwr"/>
        <s v="Castell-nedd Port Talbot"/>
        <s v="Abertawe"/>
        <s v="Sir Gaerfyrddin"/>
        <s v="Sir Benfro"/>
        <s v="Ceredigion"/>
        <s v="Powys"/>
        <s v="Wrecsam"/>
        <s v="Sir y Fflint"/>
        <s v="Sir Ddinbych"/>
        <s v="Conwy"/>
        <s v="Gwynedd"/>
        <s v="Ynys Môn"/>
      </sharedItems>
    </cacheField>
    <cacheField name="ColumnRef" numFmtId="0" sqlType="3">
      <sharedItems containsSemiMixedTypes="0" containsString="0" containsNumber="1" containsInteger="1" minValue="11" maxValue="11" count="1">
        <n v="11"/>
      </sharedItems>
    </cacheField>
    <cacheField name="ColumnDesc" numFmtId="0" sqlType="-9">
      <sharedItems count="1">
        <s v="TOTAL"/>
      </sharedItems>
    </cacheField>
    <cacheField name="Data" numFmtId="0" sqlType="6">
      <sharedItems containsSemiMixedTypes="0" containsString="0" containsNumber="1" minValue="18943.919999999995" maxValue="1280944.0631849999" count="23">
        <n v="1280944.0631849999"/>
        <n v="151372.00277777779"/>
        <n v="61328.998888888891"/>
        <n v="48465.532500000008"/>
        <n v="34457.262777777782"/>
        <n v="20936.358888888888"/>
        <n v="61292.661083333325"/>
        <n v="18943.919999999995"/>
        <n v="79696.88826388889"/>
        <n v="63396.529694444442"/>
        <n v="55465.691666666673"/>
        <n v="48827.465555555551"/>
        <n v="93802.826666666675"/>
        <n v="76460.399166666655"/>
        <n v="64261.611666666679"/>
        <n v="33768.508750000008"/>
        <n v="64536.477638888893"/>
        <n v="54260.009249999996"/>
        <n v="66081.002288888863"/>
        <n v="41868.064333333336"/>
        <n v="52442.549444444448"/>
        <n v="56109.267160000003"/>
        <n v="33170.034722222219"/>
      </sharedItems>
    </cacheField>
    <cacheField name="FormRef" numFmtId="0" sqlType="12">
      <sharedItems count="1">
        <s v="CT1"/>
      </sharedItems>
    </cacheField>
    <cacheField name="RowRef" numFmtId="0" sqlType="3">
      <sharedItems containsSemiMixedTypes="0" containsString="0" containsNumber="1" containsInteger="1" minValue="26" maxValue="26" count="1">
        <n v="26"/>
      </sharedItems>
    </cacheField>
    <cacheField name="RowDesc" numFmtId="0" sqlType="-9">
      <sharedItems count="1">
        <s v="E5 - Council tax base for tax-setting purposes (=E3+E4)"/>
      </sharedItems>
    </cacheField>
    <cacheField name="YearCode" numFmtId="0" sqlType="4">
      <sharedItems containsSemiMixedTypes="0" containsString="0" containsNumber="1" containsInteger="1" minValue="200708" maxValue="202425" count="18">
        <n v="202425"/>
        <n v="202324" u="1"/>
        <n v="201415" u="1"/>
        <n v="202223" u="1"/>
        <n v="200910" u="1"/>
        <n v="201718" u="1"/>
        <n v="201213" u="1"/>
        <n v="202021" u="1"/>
        <n v="200708" u="1"/>
        <n v="201516" u="1"/>
        <n v="201011" u="1"/>
        <n v="201819" u="1"/>
        <n v="201314" u="1"/>
        <n v="202122" u="1"/>
        <n v="200809" u="1"/>
        <n v="201617" u="1"/>
        <n v="201112" u="1"/>
        <n v="201920" u="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3">
  <r>
    <x v="0"/>
    <x v="0"/>
    <x v="0"/>
    <x v="0"/>
    <x v="0"/>
    <x v="0"/>
    <x v="0"/>
    <x v="0"/>
    <x v="0"/>
    <x v="0"/>
  </r>
  <r>
    <x v="1"/>
    <x v="1"/>
    <x v="1"/>
    <x v="0"/>
    <x v="0"/>
    <x v="1"/>
    <x v="0"/>
    <x v="0"/>
    <x v="0"/>
    <x v="0"/>
  </r>
  <r>
    <x v="2"/>
    <x v="2"/>
    <x v="2"/>
    <x v="0"/>
    <x v="0"/>
    <x v="2"/>
    <x v="0"/>
    <x v="0"/>
    <x v="0"/>
    <x v="0"/>
  </r>
  <r>
    <x v="3"/>
    <x v="3"/>
    <x v="3"/>
    <x v="0"/>
    <x v="0"/>
    <x v="3"/>
    <x v="0"/>
    <x v="0"/>
    <x v="0"/>
    <x v="0"/>
  </r>
  <r>
    <x v="4"/>
    <x v="4"/>
    <x v="4"/>
    <x v="0"/>
    <x v="0"/>
    <x v="4"/>
    <x v="0"/>
    <x v="0"/>
    <x v="0"/>
    <x v="0"/>
  </r>
  <r>
    <x v="5"/>
    <x v="5"/>
    <x v="5"/>
    <x v="0"/>
    <x v="0"/>
    <x v="5"/>
    <x v="0"/>
    <x v="0"/>
    <x v="0"/>
    <x v="0"/>
  </r>
  <r>
    <x v="6"/>
    <x v="6"/>
    <x v="6"/>
    <x v="0"/>
    <x v="0"/>
    <x v="6"/>
    <x v="0"/>
    <x v="0"/>
    <x v="0"/>
    <x v="0"/>
  </r>
  <r>
    <x v="7"/>
    <x v="7"/>
    <x v="7"/>
    <x v="0"/>
    <x v="0"/>
    <x v="7"/>
    <x v="0"/>
    <x v="0"/>
    <x v="0"/>
    <x v="0"/>
  </r>
  <r>
    <x v="8"/>
    <x v="8"/>
    <x v="8"/>
    <x v="0"/>
    <x v="0"/>
    <x v="8"/>
    <x v="0"/>
    <x v="0"/>
    <x v="0"/>
    <x v="0"/>
  </r>
  <r>
    <x v="9"/>
    <x v="9"/>
    <x v="9"/>
    <x v="0"/>
    <x v="0"/>
    <x v="9"/>
    <x v="0"/>
    <x v="0"/>
    <x v="0"/>
    <x v="0"/>
  </r>
  <r>
    <x v="10"/>
    <x v="10"/>
    <x v="10"/>
    <x v="0"/>
    <x v="0"/>
    <x v="10"/>
    <x v="0"/>
    <x v="0"/>
    <x v="0"/>
    <x v="0"/>
  </r>
  <r>
    <x v="11"/>
    <x v="11"/>
    <x v="11"/>
    <x v="0"/>
    <x v="0"/>
    <x v="11"/>
    <x v="0"/>
    <x v="0"/>
    <x v="0"/>
    <x v="0"/>
  </r>
  <r>
    <x v="12"/>
    <x v="12"/>
    <x v="12"/>
    <x v="0"/>
    <x v="0"/>
    <x v="12"/>
    <x v="0"/>
    <x v="0"/>
    <x v="0"/>
    <x v="0"/>
  </r>
  <r>
    <x v="13"/>
    <x v="13"/>
    <x v="13"/>
    <x v="0"/>
    <x v="0"/>
    <x v="13"/>
    <x v="0"/>
    <x v="0"/>
    <x v="0"/>
    <x v="0"/>
  </r>
  <r>
    <x v="14"/>
    <x v="14"/>
    <x v="14"/>
    <x v="0"/>
    <x v="0"/>
    <x v="14"/>
    <x v="0"/>
    <x v="0"/>
    <x v="0"/>
    <x v="0"/>
  </r>
  <r>
    <x v="15"/>
    <x v="15"/>
    <x v="15"/>
    <x v="0"/>
    <x v="0"/>
    <x v="15"/>
    <x v="0"/>
    <x v="0"/>
    <x v="0"/>
    <x v="0"/>
  </r>
  <r>
    <x v="16"/>
    <x v="16"/>
    <x v="16"/>
    <x v="0"/>
    <x v="0"/>
    <x v="16"/>
    <x v="0"/>
    <x v="0"/>
    <x v="0"/>
    <x v="0"/>
  </r>
  <r>
    <x v="17"/>
    <x v="17"/>
    <x v="17"/>
    <x v="0"/>
    <x v="0"/>
    <x v="17"/>
    <x v="0"/>
    <x v="0"/>
    <x v="0"/>
    <x v="0"/>
  </r>
  <r>
    <x v="18"/>
    <x v="18"/>
    <x v="18"/>
    <x v="0"/>
    <x v="0"/>
    <x v="18"/>
    <x v="0"/>
    <x v="0"/>
    <x v="0"/>
    <x v="0"/>
  </r>
  <r>
    <x v="19"/>
    <x v="19"/>
    <x v="19"/>
    <x v="0"/>
    <x v="0"/>
    <x v="19"/>
    <x v="0"/>
    <x v="0"/>
    <x v="0"/>
    <x v="0"/>
  </r>
  <r>
    <x v="20"/>
    <x v="20"/>
    <x v="20"/>
    <x v="0"/>
    <x v="0"/>
    <x v="20"/>
    <x v="0"/>
    <x v="0"/>
    <x v="0"/>
    <x v="0"/>
  </r>
  <r>
    <x v="21"/>
    <x v="21"/>
    <x v="21"/>
    <x v="0"/>
    <x v="0"/>
    <x v="21"/>
    <x v="0"/>
    <x v="0"/>
    <x v="0"/>
    <x v="0"/>
  </r>
  <r>
    <x v="22"/>
    <x v="22"/>
    <x v="22"/>
    <x v="0"/>
    <x v="0"/>
    <x v="22"/>
    <x v="0"/>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500-000000000000}" name="PivotTable1" cacheId="0" dataOnRows="1" applyNumberFormats="0" applyBorderFormats="0" applyFontFormats="0" applyPatternFormats="0" applyAlignmentFormats="0" applyWidthHeightFormats="1" dataCaption="Data" updatedVersion="8" minRefreshableVersion="3" showMemberPropertyTips="0" rowGrandTotals="0" colGrandTotals="0" itemPrintTitles="1" createdVersion="4" indent="0" compact="0" compactData="0" gridDropZones="1" fieldListSortAscending="1">
  <location ref="H38:J62" firstHeaderRow="2" firstDataRow="2" firstDataCol="2" rowPageCount="1" colPageCount="1"/>
  <pivotFields count="10">
    <pivotField axis="axisRow" compact="0" outline="0" subtotalTop="0" showAll="0" includeNewItemsInFilter="1" sortType="ascending" defaultSubtotal="0">
      <items count="38">
        <item x="22"/>
        <item x="21"/>
        <item x="20"/>
        <item x="19"/>
        <item x="18"/>
        <item x="17"/>
        <item x="16"/>
        <item x="15"/>
        <item x="14"/>
        <item x="13"/>
        <item x="12"/>
        <item x="11"/>
        <item x="10"/>
        <item x="9"/>
        <item x="8"/>
        <item x="7"/>
        <item x="6"/>
        <item x="5"/>
        <item x="4"/>
        <item x="3"/>
        <item x="2"/>
        <item x="1"/>
        <item m="1" x="37"/>
        <item m="1" x="33"/>
        <item m="1" x="28"/>
        <item m="1" x="23"/>
        <item m="1" x="30"/>
        <item m="1" x="25"/>
        <item m="1" x="34"/>
        <item m="1" x="36"/>
        <item m="1" x="32"/>
        <item m="1" x="27"/>
        <item m="1" x="35"/>
        <item x="0"/>
        <item m="1" x="31"/>
        <item m="1" x="29"/>
        <item m="1" x="26"/>
        <item m="1" x="24"/>
      </items>
    </pivotField>
    <pivotField axis="axisRow" compact="0" outline="0" subtotalTop="0" showAll="0" includeNewItemsInFilter="1" defaultSubtotal="0">
      <items count="38">
        <item x="5"/>
        <item m="1" x="26"/>
        <item x="10"/>
        <item x="6"/>
        <item x="1"/>
        <item x="13"/>
        <item x="15"/>
        <item x="20"/>
        <item x="19"/>
        <item m="1" x="35"/>
        <item x="18"/>
        <item m="1" x="32"/>
        <item x="21"/>
        <item x="22"/>
        <item x="7"/>
        <item m="1" x="31"/>
        <item x="3"/>
        <item x="11"/>
        <item x="2"/>
        <item m="1" x="25"/>
        <item m="1" x="33"/>
        <item x="14"/>
        <item m="1" x="23"/>
        <item x="16"/>
        <item x="8"/>
        <item m="1" x="34"/>
        <item m="1" x="27"/>
        <item m="1" x="37"/>
        <item x="12"/>
        <item x="4"/>
        <item m="1" x="29"/>
        <item m="1" x="28"/>
        <item m="1" x="30"/>
        <item x="0"/>
        <item m="1" x="24"/>
        <item m="1" x="36"/>
        <item x="9"/>
        <item x="17"/>
      </items>
    </pivotField>
    <pivotField compact="0" outline="0" subtotalTop="0" showAll="0" includeNewItemsInFilter="1" defaultSubtotal="0"/>
    <pivotField compact="0" outline="0" subtotalTop="0" showAll="0" includeNewItemsInFilter="1" defaultSubtotal="0"/>
    <pivotField compact="0" outline="0" subtotalTop="0" showAll="0" includeNewItemsInFilter="1"/>
    <pivotField name="Data2" dataField="1" compact="0" outline="0" showAll="0" defaultSubtotal="0"/>
    <pivotField compact="0" outline="0" subtotalTop="0" showAll="0" includeNewItemsInFilter="1"/>
    <pivotField compact="0" outline="0" subtotalTop="0" showAll="0" includeNewItemsInFilter="1" defaultSubtotal="0"/>
    <pivotField compact="0" outline="0" subtotalTop="0" showAll="0" includeNewItemsInFilter="1" defaultSubtotal="0"/>
    <pivotField axis="axisPage" compact="0" outline="0" subtotalTop="0" showAll="0" includeNewItemsInFilter="1" sortType="ascending">
      <items count="19">
        <item h="1" m="1" x="8"/>
        <item h="1" m="1" x="14"/>
        <item h="1" m="1" x="4"/>
        <item h="1" m="1" x="10"/>
        <item h="1" m="1" x="16"/>
        <item h="1" m="1" x="6"/>
        <item h="1" m="1" x="12"/>
        <item h="1" m="1" x="2"/>
        <item h="1" m="1" x="9"/>
        <item h="1" m="1" x="15"/>
        <item h="1" m="1" x="5"/>
        <item m="1" x="11"/>
        <item m="1" x="17"/>
        <item m="1" x="7"/>
        <item m="1" x="13"/>
        <item m="1" x="3"/>
        <item m="1" x="1"/>
        <item x="0"/>
        <item t="default"/>
      </items>
    </pivotField>
  </pivotFields>
  <rowFields count="2">
    <field x="0"/>
    <field x="1"/>
  </rowFields>
  <rowItems count="23">
    <i>
      <x/>
      <x v="13"/>
    </i>
    <i>
      <x v="1"/>
      <x v="12"/>
    </i>
    <i>
      <x v="2"/>
      <x v="7"/>
    </i>
    <i>
      <x v="3"/>
      <x v="8"/>
    </i>
    <i>
      <x v="4"/>
      <x v="10"/>
    </i>
    <i>
      <x v="5"/>
      <x v="37"/>
    </i>
    <i>
      <x v="6"/>
      <x v="23"/>
    </i>
    <i>
      <x v="7"/>
      <x v="6"/>
    </i>
    <i>
      <x v="8"/>
      <x v="21"/>
    </i>
    <i>
      <x v="9"/>
      <x v="5"/>
    </i>
    <i>
      <x v="10"/>
      <x v="28"/>
    </i>
    <i>
      <x v="11"/>
      <x v="17"/>
    </i>
    <i>
      <x v="12"/>
      <x v="2"/>
    </i>
    <i>
      <x v="13"/>
      <x v="36"/>
    </i>
    <i>
      <x v="14"/>
      <x v="24"/>
    </i>
    <i>
      <x v="15"/>
      <x v="14"/>
    </i>
    <i>
      <x v="16"/>
      <x v="3"/>
    </i>
    <i>
      <x v="17"/>
      <x/>
    </i>
    <i>
      <x v="18"/>
      <x v="29"/>
    </i>
    <i>
      <x v="19"/>
      <x v="16"/>
    </i>
    <i>
      <x v="20"/>
      <x v="18"/>
    </i>
    <i>
      <x v="21"/>
      <x v="4"/>
    </i>
    <i>
      <x v="33"/>
      <x v="33"/>
    </i>
  </rowItems>
  <colItems count="1">
    <i/>
  </colItems>
  <pageFields count="1">
    <pageField fld="9" item="17" hier="0"/>
  </pageFields>
  <dataFields count="1">
    <dataField name="Sum of Data2" fld="5" baseField="0" baseItem="0"/>
  </dataFields>
  <formats count="5">
    <format dxfId="53">
      <pivotArea type="all" dataOnly="0" outline="0" fieldPosition="0"/>
    </format>
    <format dxfId="52">
      <pivotArea field="9" type="button" dataOnly="0" labelOnly="1" outline="0" axis="axisPage" fieldPosition="0"/>
    </format>
    <format dxfId="51">
      <pivotArea dataOnly="0" labelOnly="1" outline="0" fieldPosition="0">
        <references count="1">
          <reference field="9" count="1">
            <x v="11"/>
          </reference>
        </references>
      </pivotArea>
    </format>
    <format dxfId="50">
      <pivotArea type="all" dataOnly="0" outline="0" fieldPosition="0"/>
    </format>
    <format dxfId="49">
      <pivotArea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LocalGovernmentFinance" adjustColumnWidth="0" connectionId="1" xr16:uid="{00000000-0016-0000-0800-000001000000}" autoFormatId="16" applyNumberFormats="0" applyBorderFormats="0" applyFontFormats="0" applyPatternFormats="0" applyAlignmentFormats="0" applyWidthHeightFormats="0">
  <queryTableRefresh nextId="11" unboundColumnsLeft="1">
    <queryTableFields count="7">
      <queryTableField id="10" dataBound="0" tableColumnId="9"/>
      <queryTableField id="1" name="YearCode" tableColumnId="1"/>
      <queryTableField id="2" name="FormRef" tableColumnId="2"/>
      <queryTableField id="3" name="AuthCode" tableColumnId="3"/>
      <queryTableField id="4" name="RowRef" tableColumnId="4"/>
      <queryTableField id="5" name="StandDesc" tableColumnId="5"/>
      <queryTableField id="7" name="Data" tableColumnId="7"/>
    </queryTableFields>
  </queryTableRefresh>
</queryTable>
</file>

<file path=xl/tables/_rels/table4.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blTranslate" displayName="tblTranslate" ref="B2:E1437" totalsRowShown="0" headerRowDxfId="48" dataDxfId="47">
  <autoFilter ref="B2:E1437" xr:uid="{00000000-0009-0000-0100-000001000000}">
    <filterColumn colId="0">
      <filters>
        <filter val="Cells J10, J11 and J12 above come from the Local Government Police Settlement, they must be repeated in cells G10, G11 and G12 which is why those cells are locked."/>
      </filters>
    </filterColumn>
  </autoFilter>
  <sortState xmlns:xlrd2="http://schemas.microsoft.com/office/spreadsheetml/2017/richdata2" ref="B3:E1391">
    <sortCondition sortBy="cellColor" ref="B2:B1391" dxfId="46"/>
  </sortState>
  <tableColumns count="4">
    <tableColumn id="1" xr3:uid="{00000000-0010-0000-0000-000001000000}" name="English" dataDxfId="45"/>
    <tableColumn id="3" xr3:uid="{00000000-0010-0000-0000-000003000000}" name="Line Info E" dataDxfId="44"/>
    <tableColumn id="2" xr3:uid="{00000000-0010-0000-0000-000002000000}" name="Welsh" dataDxfId="43"/>
    <tableColumn id="4" xr3:uid="{00000000-0010-0000-0000-000004000000}" name="Line Info W" dataDxfId="4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blLines" displayName="tblLines" ref="H2:I169" totalsRowShown="0" headerRowDxfId="41" dataDxfId="40">
  <autoFilter ref="H2:I169" xr:uid="{00000000-0009-0000-0100-000002000000}"/>
  <tableColumns count="2">
    <tableColumn id="1" xr3:uid="{00000000-0010-0000-0100-000001000000}" name="Line Info E" dataDxfId="39"/>
    <tableColumn id="2" xr3:uid="{00000000-0010-0000-0100-000002000000}" name="Line Info W" dataDxfId="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2" xr:uid="{00000000-000C-0000-FFFF-FFFF02000000}" name="AllRows" displayName="AllRows" ref="T3:W19" totalsRowShown="0" headerRowDxfId="37" tableBorderDxfId="36">
  <autoFilter ref="T3:W19" xr:uid="{00000000-0009-0000-0100-000052000000}"/>
  <tableColumns count="4">
    <tableColumn id="1" xr3:uid="{00000000-0010-0000-0200-000001000000}" name="Row" dataDxfId="35"/>
    <tableColumn id="2" xr3:uid="{00000000-0010-0000-0200-000002000000}" name="Col" dataDxfId="34"/>
    <tableColumn id="3" xr3:uid="{00000000-0010-0000-0200-000003000000}" name="Y/Z" dataDxfId="33"/>
    <tableColumn id="7" xr3:uid="{00000000-0010-0000-0200-000007000000}" name="Column1" dataDxfId="32"/>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4" xr:uid="{00000000-000C-0000-FFFF-FFFF03000000}" name="DataIn" displayName="DataIn" ref="AD3:AJ67" tableType="queryTable" totalsRowShown="0" headerRowDxfId="31" dataDxfId="30">
  <autoFilter ref="AD3:AJ67" xr:uid="{00000000-0009-0000-0100-000054000000}"/>
  <tableColumns count="7">
    <tableColumn id="9" xr3:uid="{00000000-0010-0000-0300-000009000000}" uniqueName="9" name="Lookup" queryTableFieldId="10" dataDxfId="29">
      <calculatedColumnFormula>AG4&amp;"_"&amp;AH4&amp;"_"&amp;AE4</calculatedColumnFormula>
    </tableColumn>
    <tableColumn id="1" xr3:uid="{00000000-0010-0000-0300-000001000000}" uniqueName="1" name="YearCode" queryTableFieldId="1" dataDxfId="28"/>
    <tableColumn id="2" xr3:uid="{00000000-0010-0000-0300-000002000000}" uniqueName="2" name="FormRef" queryTableFieldId="2" dataDxfId="27"/>
    <tableColumn id="3" xr3:uid="{00000000-0010-0000-0300-000003000000}" uniqueName="3" name="AuthCode" queryTableFieldId="3" dataDxfId="26"/>
    <tableColumn id="4" xr3:uid="{00000000-0010-0000-0300-000004000000}" uniqueName="4" name="RowRef" queryTableFieldId="4" dataDxfId="25"/>
    <tableColumn id="5" xr3:uid="{00000000-0010-0000-0300-000005000000}" uniqueName="5" name="StandDesc" queryTableFieldId="5" dataDxfId="24"/>
    <tableColumn id="7" xr3:uid="{00000000-0010-0000-0300-000007000000}" uniqueName="7" name="Data" queryTableFieldId="7" dataDxfId="23"/>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A0000" mc:Ignorable="a14" a14:legacySpreadsheetColorIndex="10"/>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4.vml"/><Relationship Id="rId1" Type="http://schemas.openxmlformats.org/officeDocument/2006/relationships/printerSettings" Target="../printerSettings/printerSettings10.bin"/><Relationship Id="rId5" Type="http://schemas.openxmlformats.org/officeDocument/2006/relationships/comments" Target="../comments3.xml"/><Relationship Id="rId4" Type="http://schemas.openxmlformats.org/officeDocument/2006/relationships/table" Target="../tables/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hyperlink" Target="https://gov.wales/statistics-and-research/council-tax-levels/budget-requirements-data-collection/?skip=1&amp;lang=en" TargetMode="External"/><Relationship Id="rId2" Type="http://schemas.openxmlformats.org/officeDocument/2006/relationships/hyperlink" Target="https://llyw.cymru/setliad-yr-heddlu-dros-dro-2021-i-2022" TargetMode="External"/><Relationship Id="rId1" Type="http://schemas.openxmlformats.org/officeDocument/2006/relationships/hyperlink" Target="https://gov.wales/police-settlement-provisional-2021-2022"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https://gov.wales/statistics-and-research/council-tax-levels/budget-requirements-data-collection/?skip=1&amp;lang=cy"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comments" Target="../comments2.xml"/><Relationship Id="rId3" Type="http://schemas.openxmlformats.org/officeDocument/2006/relationships/hyperlink" Target="https://gov.wales/police-settlement-final-2023-2024" TargetMode="External"/><Relationship Id="rId7" Type="http://schemas.openxmlformats.org/officeDocument/2006/relationships/vmlDrawing" Target="../drawings/vmlDrawing3.vml"/><Relationship Id="rId2" Type="http://schemas.openxmlformats.org/officeDocument/2006/relationships/hyperlink" Target="../../../coxj/Final%20police%20settlement%20+%20CT1%20L.26%20by%20LA%202019-20" TargetMode="External"/><Relationship Id="rId1" Type="http://schemas.openxmlformats.org/officeDocument/2006/relationships/pivotTable" Target="../pivotTables/pivotTable1.xml"/><Relationship Id="rId6" Type="http://schemas.openxmlformats.org/officeDocument/2006/relationships/printerSettings" Target="../printerSettings/printerSettings7.bin"/><Relationship Id="rId5" Type="http://schemas.openxmlformats.org/officeDocument/2006/relationships/hyperlink" Target="https://www.gov.wales/police-settlement-2024-2025" TargetMode="External"/><Relationship Id="rId4" Type="http://schemas.openxmlformats.org/officeDocument/2006/relationships/hyperlink" Target="https://gov.wales/police-settlement-final-2020-2021"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0D38E1-00A5-4051-91FE-98137F244CCB}">
  <sheetPr>
    <tabColor rgb="FFFFCC99"/>
  </sheetPr>
  <dimension ref="A2:R40"/>
  <sheetViews>
    <sheetView workbookViewId="0">
      <pane xSplit="2" ySplit="3" topLeftCell="C4" activePane="bottomRight" state="frozen"/>
      <selection pane="topRight" activeCell="C1" sqref="C1"/>
      <selection pane="bottomLeft" activeCell="A4" sqref="A4"/>
      <selection pane="bottomRight" activeCell="S22" sqref="S22"/>
    </sheetView>
  </sheetViews>
  <sheetFormatPr defaultRowHeight="15"/>
  <cols>
    <col min="2" max="2" width="20.77734375" bestFit="1" customWidth="1"/>
    <col min="3" max="3" width="2.77734375" customWidth="1"/>
    <col min="4" max="4" width="8.109375" bestFit="1" customWidth="1"/>
    <col min="5" max="5" width="2.77734375" customWidth="1"/>
    <col min="6" max="6" width="25.5546875" bestFit="1" customWidth="1"/>
    <col min="7" max="7" width="2.77734375" customWidth="1"/>
    <col min="8" max="8" width="15.33203125" bestFit="1" customWidth="1"/>
    <col min="9" max="9" width="2.77734375" hidden="1" customWidth="1"/>
    <col min="10" max="10" width="12.21875" bestFit="1" customWidth="1"/>
    <col min="11" max="11" width="2.77734375" customWidth="1"/>
    <col min="13" max="13" width="2.77734375" customWidth="1"/>
    <col min="14" max="14" width="9.44140625" bestFit="1" customWidth="1"/>
    <col min="15" max="15" width="2.77734375" customWidth="1"/>
    <col min="16" max="16" width="11.77734375" customWidth="1"/>
    <col min="18" max="18" width="11.6640625" customWidth="1"/>
    <col min="19" max="19" width="10.109375" bestFit="1" customWidth="1"/>
    <col min="20" max="20" width="8.109375" bestFit="1" customWidth="1"/>
  </cols>
  <sheetData>
    <row r="2" spans="1:18">
      <c r="L2" s="631" t="s">
        <v>3487</v>
      </c>
      <c r="P2" s="631" t="s">
        <v>3488</v>
      </c>
      <c r="Q2" s="10" t="s">
        <v>3489</v>
      </c>
    </row>
    <row r="3" spans="1:18" ht="15" customHeight="1">
      <c r="B3" s="531" t="s">
        <v>3490</v>
      </c>
      <c r="C3" s="531"/>
      <c r="D3" s="410" t="s">
        <v>3491</v>
      </c>
      <c r="E3" s="531"/>
      <c r="F3" s="531" t="s">
        <v>3492</v>
      </c>
      <c r="G3" s="531"/>
      <c r="H3" s="531" t="s">
        <v>3493</v>
      </c>
      <c r="I3" s="531"/>
      <c r="J3" s="531" t="s">
        <v>3494</v>
      </c>
      <c r="K3" s="531"/>
      <c r="L3" s="632"/>
      <c r="M3" s="531"/>
      <c r="N3" s="531" t="s">
        <v>1293</v>
      </c>
      <c r="O3" s="531"/>
      <c r="P3" s="632"/>
      <c r="Q3" s="10" t="s">
        <v>3495</v>
      </c>
      <c r="R3" s="10" t="s">
        <v>3496</v>
      </c>
    </row>
    <row r="5" spans="1:18">
      <c r="A5">
        <v>1</v>
      </c>
      <c r="B5" t="s">
        <v>3497</v>
      </c>
      <c r="D5" s="10" t="s">
        <v>3498</v>
      </c>
      <c r="F5" t="s">
        <v>3499</v>
      </c>
      <c r="H5" t="s">
        <v>3500</v>
      </c>
      <c r="J5" t="s">
        <v>3515</v>
      </c>
      <c r="L5" s="532" t="s">
        <v>121</v>
      </c>
      <c r="N5" s="533"/>
      <c r="P5" s="534" t="s">
        <v>137</v>
      </c>
      <c r="Q5" s="10" t="s">
        <v>3501</v>
      </c>
    </row>
    <row r="6" spans="1:18">
      <c r="D6" s="10"/>
      <c r="H6" t="s">
        <v>3502</v>
      </c>
      <c r="J6" t="s">
        <v>3503</v>
      </c>
      <c r="L6" s="532" t="s">
        <v>121</v>
      </c>
      <c r="N6" s="533"/>
      <c r="P6" s="535"/>
      <c r="Q6" s="10" t="s">
        <v>3501</v>
      </c>
      <c r="R6" s="536"/>
    </row>
    <row r="7" spans="1:18">
      <c r="H7" t="s">
        <v>225</v>
      </c>
      <c r="J7" t="s">
        <v>3512</v>
      </c>
      <c r="L7" s="532" t="s">
        <v>121</v>
      </c>
      <c r="N7" s="537"/>
      <c r="P7" s="538"/>
      <c r="Q7" s="10" t="s">
        <v>165</v>
      </c>
      <c r="R7" s="536">
        <v>44944</v>
      </c>
    </row>
    <row r="8" spans="1:18">
      <c r="H8" t="s">
        <v>3513</v>
      </c>
      <c r="J8" t="s">
        <v>3514</v>
      </c>
      <c r="L8" s="532" t="s">
        <v>121</v>
      </c>
      <c r="N8" s="537"/>
      <c r="P8" s="538"/>
      <c r="Q8" s="10"/>
      <c r="R8" s="536"/>
    </row>
    <row r="9" spans="1:18">
      <c r="H9" t="s">
        <v>3516</v>
      </c>
      <c r="J9" s="10" t="s">
        <v>3517</v>
      </c>
      <c r="L9" s="287" t="s">
        <v>121</v>
      </c>
      <c r="N9" s="537"/>
      <c r="P9" s="539"/>
      <c r="Q9" s="10" t="s">
        <v>3501</v>
      </c>
    </row>
    <row r="10" spans="1:18">
      <c r="B10" s="531"/>
      <c r="C10" s="531"/>
      <c r="D10" s="531"/>
      <c r="E10" s="531"/>
      <c r="F10" s="531"/>
      <c r="G10" s="531"/>
      <c r="H10" s="531"/>
      <c r="I10" s="531"/>
      <c r="J10" s="531"/>
      <c r="K10" s="531"/>
      <c r="L10" s="531"/>
      <c r="M10" s="531"/>
      <c r="N10" s="531"/>
      <c r="O10" s="531"/>
      <c r="P10" s="531"/>
    </row>
    <row r="12" spans="1:18">
      <c r="A12">
        <v>2</v>
      </c>
      <c r="B12" t="s">
        <v>29</v>
      </c>
      <c r="D12" t="s">
        <v>3504</v>
      </c>
      <c r="F12" s="10" t="s">
        <v>3499</v>
      </c>
      <c r="H12" t="s">
        <v>3518</v>
      </c>
      <c r="J12" t="s">
        <v>3519</v>
      </c>
      <c r="L12" s="532" t="s">
        <v>121</v>
      </c>
      <c r="N12" s="537"/>
      <c r="P12" s="540" t="s">
        <v>126</v>
      </c>
    </row>
    <row r="13" spans="1:18">
      <c r="F13" s="10" t="s">
        <v>3346</v>
      </c>
      <c r="J13" t="s">
        <v>3520</v>
      </c>
      <c r="L13" s="532" t="s">
        <v>127</v>
      </c>
      <c r="N13" s="537"/>
      <c r="P13" s="541"/>
      <c r="Q13" t="s">
        <v>165</v>
      </c>
      <c r="R13" s="536">
        <v>44944</v>
      </c>
    </row>
    <row r="14" spans="1:18">
      <c r="F14" s="10"/>
      <c r="H14" t="s">
        <v>3521</v>
      </c>
      <c r="J14" t="s">
        <v>3522</v>
      </c>
      <c r="L14" s="532" t="s">
        <v>127</v>
      </c>
      <c r="N14" s="537"/>
      <c r="P14" s="541"/>
      <c r="Q14" t="s">
        <v>165</v>
      </c>
      <c r="R14" s="536">
        <v>44944</v>
      </c>
    </row>
    <row r="15" spans="1:18">
      <c r="L15" s="532"/>
      <c r="N15" s="537"/>
      <c r="P15" s="541"/>
    </row>
    <row r="16" spans="1:18">
      <c r="B16" s="10"/>
      <c r="L16" s="532"/>
      <c r="N16" s="537"/>
      <c r="P16" s="542"/>
    </row>
    <row r="18" spans="1:18" s="546" customFormat="1">
      <c r="F18" s="547"/>
      <c r="J18" s="432"/>
      <c r="L18" s="548"/>
      <c r="M18" s="548"/>
      <c r="N18" s="548"/>
      <c r="O18" s="548"/>
      <c r="P18" s="548"/>
    </row>
    <row r="19" spans="1:18">
      <c r="A19">
        <v>3</v>
      </c>
      <c r="B19" t="s">
        <v>95</v>
      </c>
      <c r="D19" t="s">
        <v>3504</v>
      </c>
      <c r="J19" s="10" t="s">
        <v>3505</v>
      </c>
      <c r="L19" s="287" t="s">
        <v>127</v>
      </c>
      <c r="N19" s="537"/>
      <c r="P19" s="540" t="s">
        <v>126</v>
      </c>
    </row>
    <row r="20" spans="1:18">
      <c r="J20" s="10" t="s">
        <v>3506</v>
      </c>
      <c r="L20" s="287" t="s">
        <v>127</v>
      </c>
      <c r="N20" s="545"/>
      <c r="P20" s="542"/>
    </row>
    <row r="21" spans="1:18">
      <c r="B21" s="531"/>
      <c r="C21" s="531"/>
      <c r="D21" s="531"/>
      <c r="E21" s="531"/>
      <c r="F21" s="531"/>
      <c r="G21" s="531"/>
      <c r="H21" s="531"/>
      <c r="I21" s="531"/>
      <c r="J21" s="531"/>
      <c r="K21" s="531"/>
      <c r="L21" s="531"/>
      <c r="M21" s="531"/>
      <c r="N21" s="531"/>
      <c r="O21" s="531"/>
      <c r="P21" s="531"/>
    </row>
    <row r="23" spans="1:18">
      <c r="A23">
        <v>4</v>
      </c>
      <c r="B23" t="s">
        <v>1293</v>
      </c>
      <c r="D23" t="s">
        <v>3504</v>
      </c>
      <c r="J23" s="10" t="s">
        <v>3506</v>
      </c>
      <c r="N23" s="537"/>
      <c r="P23" s="540" t="s">
        <v>126</v>
      </c>
    </row>
    <row r="24" spans="1:18">
      <c r="J24" s="10" t="s">
        <v>3506</v>
      </c>
      <c r="N24" s="537"/>
      <c r="P24" s="541"/>
    </row>
    <row r="25" spans="1:18">
      <c r="J25" s="10" t="s">
        <v>3506</v>
      </c>
      <c r="N25" s="537"/>
      <c r="P25" s="541"/>
    </row>
    <row r="26" spans="1:18">
      <c r="J26" s="10" t="s">
        <v>3506</v>
      </c>
      <c r="L26" s="532"/>
      <c r="N26" s="537"/>
      <c r="P26" s="542"/>
    </row>
    <row r="27" spans="1:18">
      <c r="B27" s="531"/>
      <c r="C27" s="531"/>
      <c r="D27" s="531"/>
      <c r="E27" s="531"/>
      <c r="F27" s="531"/>
      <c r="G27" s="531"/>
      <c r="H27" s="531"/>
      <c r="I27" s="531"/>
      <c r="J27" s="531"/>
      <c r="K27" s="531"/>
      <c r="L27" s="543"/>
      <c r="M27" s="531"/>
      <c r="N27" s="531"/>
      <c r="O27" s="531"/>
      <c r="P27" s="543"/>
    </row>
    <row r="28" spans="1:18">
      <c r="L28" s="532"/>
      <c r="P28" s="532"/>
    </row>
    <row r="29" spans="1:18">
      <c r="A29">
        <v>5</v>
      </c>
      <c r="B29" t="s">
        <v>3507</v>
      </c>
      <c r="D29" t="s">
        <v>3498</v>
      </c>
      <c r="F29" t="s">
        <v>3499</v>
      </c>
      <c r="H29" t="s">
        <v>3524</v>
      </c>
      <c r="J29" t="s">
        <v>3525</v>
      </c>
      <c r="L29" s="532" t="s">
        <v>121</v>
      </c>
      <c r="N29" s="537"/>
      <c r="P29" s="544" t="s">
        <v>137</v>
      </c>
      <c r="Q29" s="10" t="s">
        <v>165</v>
      </c>
      <c r="R29" s="536">
        <v>44944</v>
      </c>
    </row>
    <row r="30" spans="1:18">
      <c r="L30" s="532"/>
    </row>
    <row r="31" spans="1:18">
      <c r="L31" s="532"/>
    </row>
    <row r="33" spans="1:17">
      <c r="A33">
        <v>6</v>
      </c>
      <c r="B33" t="s">
        <v>3508</v>
      </c>
      <c r="P33" s="544" t="s">
        <v>137</v>
      </c>
    </row>
    <row r="37" spans="1:17">
      <c r="A37">
        <v>7</v>
      </c>
      <c r="B37" t="s">
        <v>3509</v>
      </c>
      <c r="P37" s="544" t="s">
        <v>137</v>
      </c>
    </row>
    <row r="40" spans="1:17">
      <c r="A40">
        <v>8</v>
      </c>
      <c r="B40" t="s">
        <v>3510</v>
      </c>
      <c r="F40" t="s">
        <v>3499</v>
      </c>
      <c r="H40" t="s">
        <v>3362</v>
      </c>
      <c r="J40" t="s">
        <v>3523</v>
      </c>
      <c r="L40" s="532" t="s">
        <v>121</v>
      </c>
      <c r="P40" s="544" t="s">
        <v>137</v>
      </c>
      <c r="Q40" t="s">
        <v>3501</v>
      </c>
    </row>
  </sheetData>
  <sheetProtection sheet="1" objects="1" scenarios="1"/>
  <mergeCells count="2">
    <mergeCell ref="L2:L3"/>
    <mergeCell ref="P2:P3"/>
  </mergeCells>
  <pageMargins left="0.7" right="0.7" top="0.75" bottom="0.75" header="0.3" footer="0.3"/>
  <pageSetup paperSize="9" orientation="portrait" horizontalDpi="300" verticalDpi="300"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CC99"/>
  </sheetPr>
  <dimension ref="B1:AN67"/>
  <sheetViews>
    <sheetView workbookViewId="0">
      <selection activeCell="Z4" sqref="Z4"/>
    </sheetView>
  </sheetViews>
  <sheetFormatPr defaultRowHeight="15"/>
  <cols>
    <col min="1" max="1" width="2.77734375" customWidth="1"/>
    <col min="2" max="2" width="7.5546875" bestFit="1" customWidth="1"/>
    <col min="3" max="3" width="5.33203125" bestFit="1" customWidth="1"/>
    <col min="4" max="4" width="5.21875" bestFit="1" customWidth="1"/>
    <col min="5" max="5" width="6.5546875" bestFit="1" customWidth="1"/>
    <col min="6" max="6" width="6.109375" bestFit="1" customWidth="1"/>
    <col min="10" max="11" width="3.33203125" bestFit="1" customWidth="1"/>
    <col min="12" max="12" width="4.109375" bestFit="1" customWidth="1"/>
    <col min="13" max="13" width="4.21875" bestFit="1" customWidth="1"/>
    <col min="14" max="14" width="9.33203125" bestFit="1" customWidth="1"/>
    <col min="15" max="15" width="8.6640625" bestFit="1" customWidth="1"/>
    <col min="16" max="16" width="4" bestFit="1" customWidth="1"/>
    <col min="17" max="17" width="5.44140625" bestFit="1" customWidth="1"/>
    <col min="18" max="18" width="2.77734375" customWidth="1"/>
    <col min="19" max="19" width="7.21875" customWidth="1"/>
    <col min="20" max="20" width="5.44140625" customWidth="1"/>
    <col min="21" max="21" width="4.44140625" customWidth="1"/>
    <col min="22" max="22" width="4.109375" customWidth="1"/>
    <col min="23" max="23" width="39.88671875" bestFit="1" customWidth="1"/>
    <col min="24" max="29" width="1.6640625" customWidth="1"/>
    <col min="30" max="30" width="10.109375" bestFit="1" customWidth="1"/>
    <col min="31" max="31" width="5.44140625" customWidth="1"/>
    <col min="32" max="32" width="5.5546875" customWidth="1"/>
    <col min="33" max="33" width="5.21875" customWidth="1"/>
    <col min="34" max="34" width="5.109375" customWidth="1"/>
    <col min="35" max="35" width="30.21875" customWidth="1"/>
    <col min="36" max="36" width="9.5546875" customWidth="1"/>
    <col min="37" max="37" width="2.77734375" customWidth="1"/>
    <col min="38" max="40" width="56" style="1" customWidth="1"/>
  </cols>
  <sheetData>
    <row r="1" spans="2:40" ht="15.75">
      <c r="S1" s="276" t="s">
        <v>3359</v>
      </c>
      <c r="AI1" s="530" t="str">
        <f>"&gt;="&amp;Year-202</f>
        <v>&gt;=202223</v>
      </c>
      <c r="AJ1" s="306" t="s">
        <v>3445</v>
      </c>
    </row>
    <row r="2" spans="2:40" ht="15.75">
      <c r="B2" s="278" t="s">
        <v>3363</v>
      </c>
      <c r="AD2" s="278" t="s">
        <v>3529</v>
      </c>
    </row>
    <row r="3" spans="2:40" ht="15.75">
      <c r="B3" s="2" t="s">
        <v>56</v>
      </c>
      <c r="C3" s="2" t="s">
        <v>49</v>
      </c>
      <c r="D3" s="2" t="s">
        <v>50</v>
      </c>
      <c r="E3" s="2" t="s">
        <v>51</v>
      </c>
      <c r="F3" s="2" t="s">
        <v>55</v>
      </c>
      <c r="G3" s="2" t="s">
        <v>3351</v>
      </c>
      <c r="H3" s="2" t="s">
        <v>3352</v>
      </c>
      <c r="I3" s="2" t="s">
        <v>3353</v>
      </c>
      <c r="J3" s="2" t="s">
        <v>3354</v>
      </c>
      <c r="K3" s="2" t="s">
        <v>3355</v>
      </c>
      <c r="L3" s="2" t="s">
        <v>3356</v>
      </c>
      <c r="M3" s="2" t="s">
        <v>3082</v>
      </c>
      <c r="N3" s="2" t="s">
        <v>3349</v>
      </c>
      <c r="O3" s="2" t="s">
        <v>3357</v>
      </c>
      <c r="P3" s="2" t="s">
        <v>3358</v>
      </c>
      <c r="Q3" s="2" t="s">
        <v>3315</v>
      </c>
      <c r="S3" s="10"/>
      <c r="T3" s="280" t="s">
        <v>230</v>
      </c>
      <c r="U3" s="281" t="s">
        <v>231</v>
      </c>
      <c r="V3" s="279" t="s">
        <v>3368</v>
      </c>
      <c r="W3" s="276" t="s">
        <v>3367</v>
      </c>
      <c r="X3" s="276"/>
      <c r="Y3" s="276"/>
      <c r="Z3" s="4"/>
      <c r="AA3" s="4"/>
      <c r="AB3" s="4"/>
      <c r="AC3" s="4"/>
      <c r="AD3" s="282" t="s">
        <v>3361</v>
      </c>
      <c r="AE3" s="282" t="s">
        <v>56</v>
      </c>
      <c r="AF3" s="282" t="s">
        <v>49</v>
      </c>
      <c r="AG3" s="282" t="s">
        <v>55</v>
      </c>
      <c r="AH3" s="282" t="s">
        <v>50</v>
      </c>
      <c r="AI3" s="282" t="s">
        <v>3360</v>
      </c>
      <c r="AJ3" s="282" t="s">
        <v>14</v>
      </c>
    </row>
    <row r="4" spans="2:40">
      <c r="B4" s="2" t="str">
        <f t="shared" ref="B4:B17" si="0">LEFT(Year,4)&amp;RIGHT(Year,2)</f>
        <v>202425</v>
      </c>
      <c r="C4" s="2" t="s">
        <v>29</v>
      </c>
      <c r="D4" s="2">
        <f t="shared" ref="D4:D19" si="1">T4</f>
        <v>1</v>
      </c>
      <c r="E4" s="2">
        <f t="shared" ref="E4:E19" si="2">U4</f>
        <v>1</v>
      </c>
      <c r="F4" s="2">
        <f t="shared" ref="F4:F17" si="3">UANumber</f>
        <v>0</v>
      </c>
      <c r="G4" s="20" t="str">
        <f t="shared" ref="G4:G19" si="4">VLOOKUP($D4,LineData,12,FALSE)</f>
        <v/>
      </c>
      <c r="H4" s="20" t="str">
        <f t="shared" ref="H4:H19" si="5">VLOOKUP($D4,LineData,13,FALSE)</f>
        <v/>
      </c>
      <c r="I4" s="20" t="str">
        <f t="shared" ref="I4:I19" si="6">VLOOKUP($D4,LineData,14,FALSE)</f>
        <v/>
      </c>
      <c r="J4" s="20">
        <f t="shared" ref="J4:Q13" si="7">VLOOKUP($D4,LineData,20,FALSE)</f>
        <v>0</v>
      </c>
      <c r="K4" s="20">
        <f t="shared" si="7"/>
        <v>0</v>
      </c>
      <c r="L4" s="20">
        <f t="shared" si="7"/>
        <v>0</v>
      </c>
      <c r="M4" s="20">
        <f t="shared" si="7"/>
        <v>0</v>
      </c>
      <c r="N4" s="20">
        <f t="shared" si="7"/>
        <v>0</v>
      </c>
      <c r="O4" s="20">
        <f t="shared" si="7"/>
        <v>0</v>
      </c>
      <c r="P4" s="20">
        <f t="shared" si="7"/>
        <v>0</v>
      </c>
      <c r="Q4" s="277">
        <f t="shared" si="7"/>
        <v>0</v>
      </c>
      <c r="T4" s="1">
        <v>1</v>
      </c>
      <c r="U4" s="1">
        <v>1</v>
      </c>
      <c r="V4" t="s">
        <v>137</v>
      </c>
      <c r="W4" s="1" t="s">
        <v>30</v>
      </c>
      <c r="X4" s="1"/>
      <c r="Z4" s="4"/>
      <c r="AA4" s="4"/>
      <c r="AB4" s="277"/>
      <c r="AC4" s="277"/>
      <c r="AD4" s="282" t="str">
        <f t="shared" ref="AD4:AD35" si="8">AG4&amp;"_"&amp;AH4&amp;"_"&amp;AE4</f>
        <v>562_1_202223</v>
      </c>
      <c r="AE4" s="282">
        <v>202223</v>
      </c>
      <c r="AF4" s="282" t="s">
        <v>29</v>
      </c>
      <c r="AG4" s="282">
        <v>562</v>
      </c>
      <c r="AH4" s="282">
        <v>1</v>
      </c>
      <c r="AI4" s="282" t="s">
        <v>30</v>
      </c>
      <c r="AJ4" s="283">
        <v>127521110</v>
      </c>
      <c r="AL4" s="280" t="s">
        <v>3425</v>
      </c>
    </row>
    <row r="5" spans="2:40">
      <c r="B5" s="2" t="str">
        <f t="shared" si="0"/>
        <v>202425</v>
      </c>
      <c r="C5" s="2" t="s">
        <v>29</v>
      </c>
      <c r="D5" s="2">
        <f t="shared" si="1"/>
        <v>2</v>
      </c>
      <c r="E5" s="2">
        <f t="shared" si="2"/>
        <v>1</v>
      </c>
      <c r="F5" s="2">
        <f t="shared" si="3"/>
        <v>0</v>
      </c>
      <c r="G5" s="20">
        <f t="shared" si="4"/>
        <v>0</v>
      </c>
      <c r="H5" s="20">
        <f t="shared" si="5"/>
        <v>0</v>
      </c>
      <c r="I5" s="20">
        <f t="shared" si="6"/>
        <v>0</v>
      </c>
      <c r="J5" s="20">
        <f t="shared" si="7"/>
        <v>0</v>
      </c>
      <c r="K5" s="20">
        <f t="shared" si="7"/>
        <v>0</v>
      </c>
      <c r="L5" s="20">
        <f t="shared" si="7"/>
        <v>0</v>
      </c>
      <c r="M5" s="20">
        <f t="shared" si="7"/>
        <v>0</v>
      </c>
      <c r="N5" s="20">
        <f t="shared" si="7"/>
        <v>0</v>
      </c>
      <c r="O5" s="20">
        <f t="shared" si="7"/>
        <v>0</v>
      </c>
      <c r="P5" s="20">
        <f t="shared" si="7"/>
        <v>0</v>
      </c>
      <c r="Q5" s="277">
        <f t="shared" si="7"/>
        <v>0</v>
      </c>
      <c r="T5" s="1">
        <v>2</v>
      </c>
      <c r="U5" s="1">
        <v>1</v>
      </c>
      <c r="W5" s="1" t="s">
        <v>1</v>
      </c>
      <c r="X5" s="1"/>
      <c r="Z5" s="4"/>
      <c r="AA5" s="4"/>
      <c r="AB5" s="277"/>
      <c r="AC5" s="277"/>
      <c r="AD5" s="282" t="str">
        <f t="shared" si="8"/>
        <v>564_1_202223</v>
      </c>
      <c r="AE5" s="282">
        <v>202223</v>
      </c>
      <c r="AF5" s="282" t="s">
        <v>29</v>
      </c>
      <c r="AG5" s="282">
        <v>564</v>
      </c>
      <c r="AH5" s="282">
        <v>1</v>
      </c>
      <c r="AI5" s="282" t="s">
        <v>30</v>
      </c>
      <c r="AJ5" s="283">
        <v>156426778</v>
      </c>
      <c r="AL5" s="291" t="s">
        <v>248</v>
      </c>
      <c r="AM5" s="291" t="s">
        <v>250</v>
      </c>
      <c r="AN5" s="291" t="s">
        <v>3371</v>
      </c>
    </row>
    <row r="6" spans="2:40">
      <c r="B6" s="2" t="str">
        <f t="shared" si="0"/>
        <v>202425</v>
      </c>
      <c r="C6" s="2" t="s">
        <v>29</v>
      </c>
      <c r="D6" s="2">
        <f t="shared" si="1"/>
        <v>3</v>
      </c>
      <c r="E6" s="2">
        <f t="shared" si="2"/>
        <v>1</v>
      </c>
      <c r="F6" s="2">
        <f t="shared" si="3"/>
        <v>0</v>
      </c>
      <c r="G6" s="20">
        <f t="shared" si="4"/>
        <v>0</v>
      </c>
      <c r="H6" s="20">
        <f t="shared" si="5"/>
        <v>0</v>
      </c>
      <c r="I6" s="20">
        <f t="shared" si="6"/>
        <v>0</v>
      </c>
      <c r="J6" s="20">
        <f t="shared" si="7"/>
        <v>0</v>
      </c>
      <c r="K6" s="20">
        <f t="shared" si="7"/>
        <v>0</v>
      </c>
      <c r="L6" s="20">
        <f t="shared" si="7"/>
        <v>0</v>
      </c>
      <c r="M6" s="20">
        <f t="shared" si="7"/>
        <v>0</v>
      </c>
      <c r="N6" s="20">
        <f t="shared" si="7"/>
        <v>0</v>
      </c>
      <c r="O6" s="20">
        <f t="shared" si="7"/>
        <v>0</v>
      </c>
      <c r="P6" s="20">
        <f t="shared" si="7"/>
        <v>0</v>
      </c>
      <c r="Q6" s="277">
        <f t="shared" si="7"/>
        <v>0</v>
      </c>
      <c r="T6" s="1">
        <v>3</v>
      </c>
      <c r="U6" s="1">
        <v>1</v>
      </c>
      <c r="W6" s="1" t="s">
        <v>2</v>
      </c>
      <c r="X6" s="1"/>
      <c r="Z6" s="4"/>
      <c r="AA6" s="4"/>
      <c r="AB6" s="277"/>
      <c r="AC6" s="277"/>
      <c r="AD6" s="282" t="str">
        <f t="shared" si="8"/>
        <v>566_1_202223</v>
      </c>
      <c r="AE6" s="282">
        <v>202223</v>
      </c>
      <c r="AF6" s="282" t="s">
        <v>29</v>
      </c>
      <c r="AG6" s="282">
        <v>566</v>
      </c>
      <c r="AH6" s="282">
        <v>1</v>
      </c>
      <c r="AI6" s="282" t="s">
        <v>30</v>
      </c>
      <c r="AJ6" s="283">
        <v>182268351</v>
      </c>
      <c r="AL6" s="292" t="s">
        <v>3437</v>
      </c>
      <c r="AM6" s="292" t="s">
        <v>3438</v>
      </c>
      <c r="AN6" s="292" t="str">
        <f>IF(Details!$G$2=2,AL6,AM6)</f>
        <v>After completing the form - check any flagged figures (marked ‘1’ in the ‘Auto’ column) that are either outside tolerance (&gt;5%) or not equal to zero (see ‘Arithmetic Checks’ section)</v>
      </c>
    </row>
    <row r="7" spans="2:40">
      <c r="B7" s="2" t="str">
        <f t="shared" si="0"/>
        <v>202425</v>
      </c>
      <c r="C7" s="2" t="s">
        <v>29</v>
      </c>
      <c r="D7" s="2">
        <f t="shared" si="1"/>
        <v>4</v>
      </c>
      <c r="E7" s="2">
        <f t="shared" si="2"/>
        <v>1</v>
      </c>
      <c r="F7" s="2">
        <f t="shared" si="3"/>
        <v>0</v>
      </c>
      <c r="G7" s="20">
        <f t="shared" si="4"/>
        <v>0</v>
      </c>
      <c r="H7" s="20">
        <f t="shared" si="5"/>
        <v>0</v>
      </c>
      <c r="I7" s="20">
        <f t="shared" si="6"/>
        <v>0</v>
      </c>
      <c r="J7" s="20">
        <f t="shared" si="7"/>
        <v>0</v>
      </c>
      <c r="K7" s="20">
        <f t="shared" si="7"/>
        <v>0</v>
      </c>
      <c r="L7" s="20">
        <f t="shared" si="7"/>
        <v>0</v>
      </c>
      <c r="M7" s="20">
        <f t="shared" si="7"/>
        <v>0</v>
      </c>
      <c r="N7" s="20">
        <f t="shared" si="7"/>
        <v>0</v>
      </c>
      <c r="O7" s="20">
        <f t="shared" si="7"/>
        <v>0</v>
      </c>
      <c r="P7" s="20">
        <f t="shared" si="7"/>
        <v>0</v>
      </c>
      <c r="Q7" s="277">
        <f t="shared" si="7"/>
        <v>0</v>
      </c>
      <c r="T7" s="1">
        <v>4</v>
      </c>
      <c r="U7" s="1">
        <v>1</v>
      </c>
      <c r="W7" s="1" t="s">
        <v>3364</v>
      </c>
      <c r="X7" s="1"/>
      <c r="Z7" s="4"/>
      <c r="AA7" s="4"/>
      <c r="AB7" s="277"/>
      <c r="AC7" s="277"/>
      <c r="AD7" s="282" t="str">
        <f t="shared" si="8"/>
        <v>568_1_202223</v>
      </c>
      <c r="AE7" s="282">
        <v>202223</v>
      </c>
      <c r="AF7" s="282" t="s">
        <v>29</v>
      </c>
      <c r="AG7" s="282">
        <v>568</v>
      </c>
      <c r="AH7" s="282">
        <v>1</v>
      </c>
      <c r="AI7" s="282" t="s">
        <v>30</v>
      </c>
      <c r="AJ7" s="283">
        <v>346368222</v>
      </c>
      <c r="AL7" s="292" t="s">
        <v>3372</v>
      </c>
      <c r="AM7" s="292" t="s">
        <v>3373</v>
      </c>
      <c r="AN7" s="292" t="str">
        <f>IF(Details!$G$2=2,AL7,AM7)</f>
        <v>The line tolerance limits (columns M and N) are either pre-set or can be adjusted manually (currently set at 50 and 5% - cells M7 and N7).</v>
      </c>
    </row>
    <row r="8" spans="2:40">
      <c r="B8" s="2" t="str">
        <f t="shared" si="0"/>
        <v>202425</v>
      </c>
      <c r="C8" s="2" t="s">
        <v>29</v>
      </c>
      <c r="D8" s="2">
        <f t="shared" si="1"/>
        <v>5</v>
      </c>
      <c r="E8" s="2">
        <f t="shared" si="2"/>
        <v>1</v>
      </c>
      <c r="F8" s="2">
        <f t="shared" si="3"/>
        <v>0</v>
      </c>
      <c r="G8" s="20">
        <f t="shared" si="4"/>
        <v>0</v>
      </c>
      <c r="H8" s="20">
        <f t="shared" si="5"/>
        <v>0</v>
      </c>
      <c r="I8" s="20">
        <f t="shared" si="6"/>
        <v>0</v>
      </c>
      <c r="J8" s="20">
        <f t="shared" si="7"/>
        <v>0</v>
      </c>
      <c r="K8" s="20">
        <f t="shared" si="7"/>
        <v>0</v>
      </c>
      <c r="L8" s="20">
        <f t="shared" si="7"/>
        <v>0</v>
      </c>
      <c r="M8" s="20">
        <f t="shared" si="7"/>
        <v>0</v>
      </c>
      <c r="N8" s="20">
        <f t="shared" si="7"/>
        <v>0</v>
      </c>
      <c r="O8" s="20">
        <f t="shared" si="7"/>
        <v>0</v>
      </c>
      <c r="P8" s="20">
        <f t="shared" si="7"/>
        <v>0</v>
      </c>
      <c r="Q8" s="277">
        <f t="shared" si="7"/>
        <v>0</v>
      </c>
      <c r="T8" s="1">
        <v>5</v>
      </c>
      <c r="U8" s="1">
        <v>1</v>
      </c>
      <c r="W8" s="1" t="s">
        <v>3365</v>
      </c>
      <c r="X8" s="1"/>
      <c r="Z8" s="4"/>
      <c r="AA8" s="4"/>
      <c r="AB8" s="277"/>
      <c r="AC8" s="277"/>
      <c r="AD8" s="282" t="str">
        <f t="shared" si="8"/>
        <v>562_2_202223</v>
      </c>
      <c r="AE8" s="282">
        <v>202223</v>
      </c>
      <c r="AF8" s="282" t="s">
        <v>29</v>
      </c>
      <c r="AG8" s="282">
        <v>562</v>
      </c>
      <c r="AH8" s="282">
        <v>2</v>
      </c>
      <c r="AI8" s="282" t="s">
        <v>1</v>
      </c>
      <c r="AJ8" s="283">
        <v>190112</v>
      </c>
      <c r="AL8" s="292" t="s">
        <v>3374</v>
      </c>
      <c r="AM8" s="292" t="s">
        <v>3375</v>
      </c>
      <c r="AN8" s="292" t="str">
        <f>IF(Details!$G$2=2,AL8,AM8)</f>
        <v xml:space="preserve">If you wish to add supporting information to any row please put it in ‘Your Comments’, otherwise an email confirming that you are happy with the figures will do. </v>
      </c>
    </row>
    <row r="9" spans="2:40">
      <c r="B9" s="2" t="str">
        <f t="shared" si="0"/>
        <v>202425</v>
      </c>
      <c r="C9" s="2" t="s">
        <v>29</v>
      </c>
      <c r="D9" s="2">
        <f t="shared" si="1"/>
        <v>6</v>
      </c>
      <c r="E9" s="2">
        <f t="shared" si="2"/>
        <v>1</v>
      </c>
      <c r="F9" s="2">
        <f t="shared" si="3"/>
        <v>0</v>
      </c>
      <c r="G9" s="20" t="str">
        <f t="shared" si="4"/>
        <v/>
      </c>
      <c r="H9" s="20" t="str">
        <f t="shared" si="5"/>
        <v/>
      </c>
      <c r="I9" s="20" t="str">
        <f t="shared" si="6"/>
        <v/>
      </c>
      <c r="J9" s="20">
        <f t="shared" si="7"/>
        <v>0</v>
      </c>
      <c r="K9" s="20">
        <f t="shared" si="7"/>
        <v>0</v>
      </c>
      <c r="L9" s="20">
        <f t="shared" si="7"/>
        <v>0</v>
      </c>
      <c r="M9" s="20">
        <f t="shared" si="7"/>
        <v>0</v>
      </c>
      <c r="N9" s="20">
        <f t="shared" si="7"/>
        <v>0</v>
      </c>
      <c r="O9" s="20">
        <f t="shared" si="7"/>
        <v>0</v>
      </c>
      <c r="P9" s="20">
        <f t="shared" si="7"/>
        <v>0</v>
      </c>
      <c r="Q9" s="277">
        <f t="shared" si="7"/>
        <v>0</v>
      </c>
      <c r="T9" s="1">
        <v>6</v>
      </c>
      <c r="U9" s="1">
        <v>1</v>
      </c>
      <c r="V9" t="s">
        <v>137</v>
      </c>
      <c r="W9" s="1" t="s">
        <v>3191</v>
      </c>
      <c r="X9" s="1"/>
      <c r="Z9" s="4"/>
      <c r="AA9" s="4"/>
      <c r="AB9" s="277"/>
      <c r="AC9" s="277"/>
      <c r="AD9" s="282" t="str">
        <f t="shared" si="8"/>
        <v>564_2_202223</v>
      </c>
      <c r="AE9" s="282">
        <v>202223</v>
      </c>
      <c r="AF9" s="282" t="s">
        <v>29</v>
      </c>
      <c r="AG9" s="282">
        <v>564</v>
      </c>
      <c r="AH9" s="282">
        <v>2</v>
      </c>
      <c r="AI9" s="282" t="s">
        <v>1</v>
      </c>
      <c r="AJ9" s="283">
        <v>212065</v>
      </c>
      <c r="AL9" s="292" t="s">
        <v>3376</v>
      </c>
      <c r="AM9" s="292" t="s">
        <v>3377</v>
      </c>
      <c r="AN9" s="292" t="str">
        <f>IF(Details!$G$2=2,AL9,AM9)</f>
        <v>After receiving the completed form - we will mark any rows that we think need to be cleared using the 'Check' column along with adding any comments and/or</v>
      </c>
    </row>
    <row r="10" spans="2:40">
      <c r="B10" s="2" t="str">
        <f t="shared" si="0"/>
        <v>202425</v>
      </c>
      <c r="C10" s="2" t="s">
        <v>29</v>
      </c>
      <c r="D10" s="2">
        <f t="shared" si="1"/>
        <v>7</v>
      </c>
      <c r="E10" s="2">
        <f t="shared" si="2"/>
        <v>1</v>
      </c>
      <c r="F10" s="2">
        <f t="shared" si="3"/>
        <v>0</v>
      </c>
      <c r="G10" s="20" t="str">
        <f t="shared" si="4"/>
        <v/>
      </c>
      <c r="H10" s="20" t="str">
        <f t="shared" si="5"/>
        <v/>
      </c>
      <c r="I10" s="20" t="str">
        <f t="shared" si="6"/>
        <v/>
      </c>
      <c r="J10" s="20">
        <f t="shared" si="7"/>
        <v>0</v>
      </c>
      <c r="K10" s="20">
        <f t="shared" si="7"/>
        <v>0</v>
      </c>
      <c r="L10" s="20">
        <f t="shared" si="7"/>
        <v>0</v>
      </c>
      <c r="M10" s="20">
        <f t="shared" si="7"/>
        <v>0</v>
      </c>
      <c r="N10" s="20">
        <f t="shared" si="7"/>
        <v>0</v>
      </c>
      <c r="O10" s="20">
        <f t="shared" si="7"/>
        <v>0</v>
      </c>
      <c r="P10" s="20">
        <f t="shared" si="7"/>
        <v>0</v>
      </c>
      <c r="Q10" s="277">
        <f t="shared" si="7"/>
        <v>0</v>
      </c>
      <c r="T10" s="1">
        <v>7</v>
      </c>
      <c r="U10" s="1">
        <v>1</v>
      </c>
      <c r="V10" t="s">
        <v>137</v>
      </c>
      <c r="W10" s="1" t="s">
        <v>48</v>
      </c>
      <c r="X10" s="1"/>
      <c r="Z10" s="4"/>
      <c r="AA10" s="4"/>
      <c r="AB10" s="277"/>
      <c r="AC10" s="277"/>
      <c r="AD10" s="282" t="str">
        <f t="shared" si="8"/>
        <v>566_2_202223</v>
      </c>
      <c r="AE10" s="282">
        <v>202223</v>
      </c>
      <c r="AF10" s="282" t="s">
        <v>29</v>
      </c>
      <c r="AG10" s="282">
        <v>566</v>
      </c>
      <c r="AH10" s="282">
        <v>2</v>
      </c>
      <c r="AI10" s="282" t="s">
        <v>1</v>
      </c>
      <c r="AJ10" s="283">
        <v>252504.99999999997</v>
      </c>
      <c r="AL10" s="292" t="s">
        <v>3378</v>
      </c>
      <c r="AM10" s="292" t="s">
        <v>3379</v>
      </c>
      <c r="AN10" s="292" t="str">
        <f>IF(Details!$G$2=2,AL10,AM10)</f>
        <v xml:space="preserve">any relevant previous comments provided by your authority in the 'Our Comments' column. We may ask you for further information if required. </v>
      </c>
    </row>
    <row r="11" spans="2:40">
      <c r="B11" s="2" t="str">
        <f t="shared" si="0"/>
        <v>202425</v>
      </c>
      <c r="C11" s="2" t="s">
        <v>29</v>
      </c>
      <c r="D11" s="2">
        <f t="shared" si="1"/>
        <v>8</v>
      </c>
      <c r="E11" s="2">
        <f t="shared" si="2"/>
        <v>1</v>
      </c>
      <c r="F11" s="2">
        <f t="shared" si="3"/>
        <v>0</v>
      </c>
      <c r="G11" s="20" t="str">
        <f t="shared" si="4"/>
        <v/>
      </c>
      <c r="H11" s="20" t="str">
        <f t="shared" si="5"/>
        <v/>
      </c>
      <c r="I11" s="20" t="str">
        <f t="shared" si="6"/>
        <v/>
      </c>
      <c r="J11" s="20">
        <f t="shared" si="7"/>
        <v>0</v>
      </c>
      <c r="K11" s="20">
        <f t="shared" si="7"/>
        <v>0</v>
      </c>
      <c r="L11" s="20">
        <f t="shared" si="7"/>
        <v>0</v>
      </c>
      <c r="M11" s="20">
        <f t="shared" si="7"/>
        <v>0</v>
      </c>
      <c r="N11" s="20">
        <f t="shared" si="7"/>
        <v>0</v>
      </c>
      <c r="O11" s="20">
        <f t="shared" si="7"/>
        <v>0</v>
      </c>
      <c r="P11" s="20">
        <f t="shared" si="7"/>
        <v>0</v>
      </c>
      <c r="Q11" s="277">
        <f t="shared" si="7"/>
        <v>0</v>
      </c>
      <c r="T11" s="1">
        <v>8</v>
      </c>
      <c r="U11" s="1">
        <v>1</v>
      </c>
      <c r="V11" t="s">
        <v>137</v>
      </c>
      <c r="W11" s="1" t="s">
        <v>3366</v>
      </c>
      <c r="X11" s="1"/>
      <c r="Z11" s="4"/>
      <c r="AA11" s="4"/>
      <c r="AB11" s="277"/>
      <c r="AC11" s="277"/>
      <c r="AD11" s="282" t="str">
        <f t="shared" si="8"/>
        <v>568_2_202223</v>
      </c>
      <c r="AE11" s="282">
        <v>202223</v>
      </c>
      <c r="AF11" s="282" t="s">
        <v>29</v>
      </c>
      <c r="AG11" s="282">
        <v>568</v>
      </c>
      <c r="AH11" s="282">
        <v>2</v>
      </c>
      <c r="AI11" s="282" t="s">
        <v>1</v>
      </c>
      <c r="AJ11" s="283">
        <v>480318</v>
      </c>
      <c r="AL11" s="292" t="s">
        <v>3444</v>
      </c>
      <c r="AM11" s="292" t="s">
        <v>3443</v>
      </c>
      <c r="AN11" s="292" t="str">
        <f>IF(Details!$G$2=2,AL11,AM11)</f>
        <v>Any cleared item swill be marked 'C' in the 'Status' column (column AA).</v>
      </c>
    </row>
    <row r="12" spans="2:40">
      <c r="B12" s="2" t="str">
        <f t="shared" si="0"/>
        <v>202425</v>
      </c>
      <c r="C12" s="2" t="s">
        <v>29</v>
      </c>
      <c r="D12" s="2">
        <f t="shared" si="1"/>
        <v>11</v>
      </c>
      <c r="E12" s="2">
        <f t="shared" si="2"/>
        <v>4</v>
      </c>
      <c r="F12" s="2">
        <f t="shared" si="3"/>
        <v>0</v>
      </c>
      <c r="G12" s="20">
        <f t="shared" si="4"/>
        <v>0</v>
      </c>
      <c r="H12" s="20">
        <f t="shared" si="5"/>
        <v>0</v>
      </c>
      <c r="I12" s="20">
        <f t="shared" si="6"/>
        <v>0</v>
      </c>
      <c r="J12" s="20">
        <f t="shared" si="7"/>
        <v>0</v>
      </c>
      <c r="K12" s="20">
        <f t="shared" si="7"/>
        <v>0</v>
      </c>
      <c r="L12" s="20">
        <f t="shared" si="7"/>
        <v>0</v>
      </c>
      <c r="M12" s="20">
        <f t="shared" si="7"/>
        <v>0</v>
      </c>
      <c r="N12" s="20">
        <f t="shared" si="7"/>
        <v>0</v>
      </c>
      <c r="O12" s="20">
        <f t="shared" si="7"/>
        <v>0</v>
      </c>
      <c r="P12" s="20">
        <f t="shared" si="7"/>
        <v>0</v>
      </c>
      <c r="Q12" s="277">
        <f t="shared" si="7"/>
        <v>0</v>
      </c>
      <c r="T12" s="1">
        <v>11</v>
      </c>
      <c r="U12" s="1">
        <v>4</v>
      </c>
      <c r="W12" s="1" t="str">
        <f>'BR2'!D30</f>
        <v xml:space="preserve">Authority: </v>
      </c>
      <c r="X12" s="1"/>
      <c r="Z12" s="4"/>
      <c r="AA12" s="4"/>
      <c r="AB12" s="277"/>
      <c r="AC12" s="277"/>
      <c r="AD12" s="282" t="str">
        <f t="shared" si="8"/>
        <v>562_3_202223</v>
      </c>
      <c r="AE12" s="282">
        <v>202223</v>
      </c>
      <c r="AF12" s="282" t="s">
        <v>29</v>
      </c>
      <c r="AG12" s="282">
        <v>562</v>
      </c>
      <c r="AH12" s="282">
        <v>3</v>
      </c>
      <c r="AI12" s="282" t="s">
        <v>2</v>
      </c>
      <c r="AJ12" s="283">
        <v>8476562.9999999981</v>
      </c>
      <c r="AL12" s="1" t="s">
        <v>3380</v>
      </c>
      <c r="AM12" s="1" t="s">
        <v>3381</v>
      </c>
      <c r="AN12" s="292" t="str">
        <f>IF(Details!$G$2=2,AL12,AM12)</f>
        <v>STATUS FIELD KEY</v>
      </c>
    </row>
    <row r="13" spans="2:40">
      <c r="B13" s="2" t="str">
        <f t="shared" si="0"/>
        <v>202425</v>
      </c>
      <c r="C13" s="2" t="s">
        <v>29</v>
      </c>
      <c r="D13" s="2">
        <f t="shared" si="1"/>
        <v>12</v>
      </c>
      <c r="E13" s="2">
        <f t="shared" si="2"/>
        <v>4</v>
      </c>
      <c r="F13" s="2">
        <f t="shared" si="3"/>
        <v>0</v>
      </c>
      <c r="G13" s="20">
        <f t="shared" si="4"/>
        <v>0</v>
      </c>
      <c r="H13" s="20">
        <f t="shared" si="5"/>
        <v>0</v>
      </c>
      <c r="I13" s="20">
        <f t="shared" si="6"/>
        <v>0</v>
      </c>
      <c r="J13" s="20">
        <f t="shared" si="7"/>
        <v>0</v>
      </c>
      <c r="K13" s="20">
        <f t="shared" si="7"/>
        <v>0</v>
      </c>
      <c r="L13" s="20">
        <f t="shared" si="7"/>
        <v>0</v>
      </c>
      <c r="M13" s="20">
        <f t="shared" si="7"/>
        <v>0</v>
      </c>
      <c r="N13" s="20">
        <f t="shared" si="7"/>
        <v>0</v>
      </c>
      <c r="O13" s="20">
        <f t="shared" si="7"/>
        <v>0</v>
      </c>
      <c r="P13" s="20">
        <f t="shared" si="7"/>
        <v>0</v>
      </c>
      <c r="Q13" s="277">
        <f t="shared" si="7"/>
        <v>0</v>
      </c>
      <c r="T13" s="1">
        <v>12</v>
      </c>
      <c r="U13" s="1">
        <v>4</v>
      </c>
      <c r="W13" s="1" t="str">
        <f>'BR2'!D31</f>
        <v xml:space="preserve">Authority: </v>
      </c>
      <c r="X13" s="1"/>
      <c r="Z13" s="4"/>
      <c r="AA13" s="4"/>
      <c r="AB13" s="277"/>
      <c r="AC13" s="277"/>
      <c r="AD13" s="282" t="str">
        <f t="shared" si="8"/>
        <v>564_3_202223</v>
      </c>
      <c r="AE13" s="282">
        <v>202223</v>
      </c>
      <c r="AF13" s="282" t="s">
        <v>29</v>
      </c>
      <c r="AG13" s="282">
        <v>564</v>
      </c>
      <c r="AH13" s="282">
        <v>3</v>
      </c>
      <c r="AI13" s="282" t="s">
        <v>2</v>
      </c>
      <c r="AJ13" s="283">
        <v>25727167</v>
      </c>
      <c r="AL13" s="1" t="s">
        <v>3382</v>
      </c>
      <c r="AM13" s="1" t="s">
        <v>3383</v>
      </c>
      <c r="AN13" s="292" t="str">
        <f>IF(Details!$G$2=2,AL13,AM13)</f>
        <v>A - to be actioned by WG</v>
      </c>
    </row>
    <row r="14" spans="2:40">
      <c r="B14" s="2" t="str">
        <f t="shared" si="0"/>
        <v>202425</v>
      </c>
      <c r="C14" s="2" t="s">
        <v>29</v>
      </c>
      <c r="D14" s="2">
        <f t="shared" si="1"/>
        <v>13</v>
      </c>
      <c r="E14" s="2">
        <f t="shared" si="2"/>
        <v>4</v>
      </c>
      <c r="F14" s="2">
        <f t="shared" si="3"/>
        <v>0</v>
      </c>
      <c r="G14" s="20">
        <f t="shared" si="4"/>
        <v>0</v>
      </c>
      <c r="H14" s="20">
        <f t="shared" si="5"/>
        <v>0</v>
      </c>
      <c r="I14" s="20">
        <f t="shared" si="6"/>
        <v>0</v>
      </c>
      <c r="J14" s="20">
        <f t="shared" ref="J14:Q19" si="9">VLOOKUP($D14,LineData,20,FALSE)</f>
        <v>0</v>
      </c>
      <c r="K14" s="20">
        <f t="shared" si="9"/>
        <v>0</v>
      </c>
      <c r="L14" s="20">
        <f t="shared" si="9"/>
        <v>0</v>
      </c>
      <c r="M14" s="20">
        <f t="shared" si="9"/>
        <v>0</v>
      </c>
      <c r="N14" s="20">
        <f t="shared" si="9"/>
        <v>0</v>
      </c>
      <c r="O14" s="20">
        <f t="shared" si="9"/>
        <v>0</v>
      </c>
      <c r="P14" s="20">
        <f t="shared" si="9"/>
        <v>0</v>
      </c>
      <c r="Q14" s="277">
        <f t="shared" si="9"/>
        <v>0</v>
      </c>
      <c r="T14" s="1">
        <v>13</v>
      </c>
      <c r="U14" s="286">
        <v>4</v>
      </c>
      <c r="V14" s="1"/>
      <c r="W14" s="1" t="str">
        <f>'BR2'!D32</f>
        <v xml:space="preserve">Authority: </v>
      </c>
      <c r="X14" s="1"/>
      <c r="Z14" s="4"/>
      <c r="AA14" s="4"/>
      <c r="AB14" s="277"/>
      <c r="AC14" s="277"/>
      <c r="AD14" s="282" t="str">
        <f t="shared" si="8"/>
        <v>566_3_202223</v>
      </c>
      <c r="AE14" s="282">
        <v>202223</v>
      </c>
      <c r="AF14" s="282" t="s">
        <v>29</v>
      </c>
      <c r="AG14" s="282">
        <v>566</v>
      </c>
      <c r="AH14" s="282">
        <v>3</v>
      </c>
      <c r="AI14" s="282" t="s">
        <v>2</v>
      </c>
      <c r="AJ14" s="283">
        <v>16260071</v>
      </c>
      <c r="AL14" s="1" t="s">
        <v>3384</v>
      </c>
      <c r="AM14" s="1" t="s">
        <v>3385</v>
      </c>
      <c r="AN14" s="292" t="str">
        <f>IF(Details!$G$2=2,AL14,AM14)</f>
        <v>C - Cleared</v>
      </c>
    </row>
    <row r="15" spans="2:40">
      <c r="B15" s="2" t="str">
        <f t="shared" si="0"/>
        <v>202425</v>
      </c>
      <c r="C15" s="2" t="s">
        <v>29</v>
      </c>
      <c r="D15" s="2">
        <f t="shared" si="1"/>
        <v>14</v>
      </c>
      <c r="E15" s="2">
        <f t="shared" si="2"/>
        <v>4</v>
      </c>
      <c r="F15" s="2">
        <f t="shared" si="3"/>
        <v>0</v>
      </c>
      <c r="G15" s="20">
        <f t="shared" si="4"/>
        <v>0</v>
      </c>
      <c r="H15" s="20">
        <f t="shared" si="5"/>
        <v>0</v>
      </c>
      <c r="I15" s="20">
        <f t="shared" si="6"/>
        <v>0</v>
      </c>
      <c r="J15" s="20">
        <f t="shared" si="9"/>
        <v>0</v>
      </c>
      <c r="K15" s="20">
        <f t="shared" si="9"/>
        <v>0</v>
      </c>
      <c r="L15" s="20">
        <f t="shared" si="9"/>
        <v>0</v>
      </c>
      <c r="M15" s="20">
        <f t="shared" si="9"/>
        <v>0</v>
      </c>
      <c r="N15" s="20">
        <f t="shared" si="9"/>
        <v>0</v>
      </c>
      <c r="O15" s="20">
        <f t="shared" si="9"/>
        <v>0</v>
      </c>
      <c r="P15" s="20">
        <f t="shared" si="9"/>
        <v>0</v>
      </c>
      <c r="Q15" s="277">
        <f t="shared" si="9"/>
        <v>0</v>
      </c>
      <c r="T15" s="1">
        <v>14</v>
      </c>
      <c r="U15" s="286">
        <v>4</v>
      </c>
      <c r="V15" s="1"/>
      <c r="W15" s="1" t="str">
        <f>'BR2'!D33</f>
        <v xml:space="preserve">Authority: </v>
      </c>
      <c r="X15" s="1"/>
      <c r="Z15" s="4"/>
      <c r="AA15" s="4"/>
      <c r="AB15" s="277"/>
      <c r="AC15" s="277"/>
      <c r="AD15" s="282" t="str">
        <f t="shared" si="8"/>
        <v>568_3_202223</v>
      </c>
      <c r="AE15" s="282">
        <v>202223</v>
      </c>
      <c r="AF15" s="282" t="s">
        <v>29</v>
      </c>
      <c r="AG15" s="282">
        <v>568</v>
      </c>
      <c r="AH15" s="282">
        <v>3</v>
      </c>
      <c r="AI15" s="282" t="s">
        <v>2</v>
      </c>
      <c r="AJ15" s="283">
        <v>61871199</v>
      </c>
      <c r="AL15" s="1" t="s">
        <v>3386</v>
      </c>
      <c r="AM15" s="1" t="s">
        <v>3387</v>
      </c>
      <c r="AN15" s="292" t="str">
        <f>IF(Details!$G$2=2,AL15,AM15)</f>
        <v>NB - Important</v>
      </c>
    </row>
    <row r="16" spans="2:40">
      <c r="B16" s="2" t="str">
        <f t="shared" si="0"/>
        <v>202425</v>
      </c>
      <c r="C16" s="2" t="s">
        <v>29</v>
      </c>
      <c r="D16" s="2">
        <f t="shared" si="1"/>
        <v>15</v>
      </c>
      <c r="E16" s="2">
        <f t="shared" si="2"/>
        <v>4</v>
      </c>
      <c r="F16" s="2">
        <f t="shared" si="3"/>
        <v>0</v>
      </c>
      <c r="G16" s="20">
        <f t="shared" si="4"/>
        <v>0</v>
      </c>
      <c r="H16" s="20">
        <f t="shared" si="5"/>
        <v>0</v>
      </c>
      <c r="I16" s="20">
        <f t="shared" si="6"/>
        <v>0</v>
      </c>
      <c r="J16" s="20">
        <f t="shared" si="9"/>
        <v>0</v>
      </c>
      <c r="K16" s="20">
        <f t="shared" si="9"/>
        <v>0</v>
      </c>
      <c r="L16" s="20">
        <f t="shared" si="9"/>
        <v>0</v>
      </c>
      <c r="M16" s="20">
        <f t="shared" si="9"/>
        <v>0</v>
      </c>
      <c r="N16" s="20">
        <f t="shared" si="9"/>
        <v>0</v>
      </c>
      <c r="O16" s="20">
        <f t="shared" si="9"/>
        <v>0</v>
      </c>
      <c r="P16" s="20">
        <f t="shared" si="9"/>
        <v>0</v>
      </c>
      <c r="Q16" s="277">
        <f t="shared" si="9"/>
        <v>0</v>
      </c>
      <c r="T16" s="1">
        <v>15</v>
      </c>
      <c r="U16" s="1">
        <v>4</v>
      </c>
      <c r="W16" s="1" t="str">
        <f>'BR2'!D34</f>
        <v xml:space="preserve">Authority: </v>
      </c>
      <c r="X16" s="1"/>
      <c r="Z16" s="4"/>
      <c r="AA16" s="4"/>
      <c r="AB16" s="277"/>
      <c r="AC16" s="277"/>
      <c r="AD16" s="282" t="str">
        <f t="shared" si="8"/>
        <v>562_4_202223</v>
      </c>
      <c r="AE16" s="282">
        <v>202223</v>
      </c>
      <c r="AF16" s="282" t="s">
        <v>29</v>
      </c>
      <c r="AG16" s="282">
        <v>562</v>
      </c>
      <c r="AH16" s="282">
        <v>4</v>
      </c>
      <c r="AI16" s="282" t="s">
        <v>53</v>
      </c>
      <c r="AJ16" s="283">
        <v>52017701</v>
      </c>
      <c r="AL16" s="1" t="s">
        <v>3388</v>
      </c>
      <c r="AM16" s="1" t="s">
        <v>3389</v>
      </c>
      <c r="AN16" s="292" t="str">
        <f>IF(Details!$G$2=2,AL16,AM16)</f>
        <v>U - Unresolved</v>
      </c>
    </row>
    <row r="17" spans="2:40">
      <c r="B17" s="2" t="str">
        <f t="shared" si="0"/>
        <v>202425</v>
      </c>
      <c r="C17" s="2" t="s">
        <v>29</v>
      </c>
      <c r="D17" s="2">
        <f t="shared" si="1"/>
        <v>16</v>
      </c>
      <c r="E17" s="2">
        <f t="shared" si="2"/>
        <v>4</v>
      </c>
      <c r="F17" s="2">
        <f t="shared" si="3"/>
        <v>0</v>
      </c>
      <c r="G17" s="20">
        <f t="shared" si="4"/>
        <v>0</v>
      </c>
      <c r="H17" s="20">
        <f t="shared" si="5"/>
        <v>0</v>
      </c>
      <c r="I17" s="20">
        <f t="shared" si="6"/>
        <v>0</v>
      </c>
      <c r="J17" s="20">
        <f t="shared" si="9"/>
        <v>0</v>
      </c>
      <c r="K17" s="20">
        <f t="shared" si="9"/>
        <v>0</v>
      </c>
      <c r="L17" s="20">
        <f t="shared" si="9"/>
        <v>0</v>
      </c>
      <c r="M17" s="20">
        <f t="shared" si="9"/>
        <v>0</v>
      </c>
      <c r="N17" s="20">
        <f t="shared" si="9"/>
        <v>0</v>
      </c>
      <c r="O17" s="20">
        <f t="shared" si="9"/>
        <v>0</v>
      </c>
      <c r="P17" s="20">
        <f t="shared" si="9"/>
        <v>0</v>
      </c>
      <c r="Q17" s="277">
        <f t="shared" si="9"/>
        <v>0</v>
      </c>
      <c r="T17" s="1">
        <v>16</v>
      </c>
      <c r="U17" s="1">
        <v>4</v>
      </c>
      <c r="W17" s="1" t="str">
        <f>'BR2'!D35</f>
        <v xml:space="preserve">Authority: </v>
      </c>
      <c r="X17" s="1"/>
      <c r="Z17" s="4"/>
      <c r="AA17" s="4"/>
      <c r="AB17" s="277"/>
      <c r="AC17" s="277"/>
      <c r="AD17" s="282" t="str">
        <f t="shared" si="8"/>
        <v>564_4_202223</v>
      </c>
      <c r="AE17" s="282">
        <v>202223</v>
      </c>
      <c r="AF17" s="282" t="s">
        <v>29</v>
      </c>
      <c r="AG17" s="282">
        <v>564</v>
      </c>
      <c r="AH17" s="282">
        <v>4</v>
      </c>
      <c r="AI17" s="282" t="s">
        <v>53</v>
      </c>
      <c r="AJ17" s="283">
        <v>62342724</v>
      </c>
      <c r="AL17" s="1" t="s">
        <v>3390</v>
      </c>
      <c r="AM17" s="1" t="s">
        <v>3391</v>
      </c>
      <c r="AN17" s="292" t="str">
        <f>IF(Details!$G$2=2,AL17,AM17)</f>
        <v>W - Waiting for action from LA</v>
      </c>
    </row>
    <row r="18" spans="2:40">
      <c r="B18" s="2" t="str">
        <f>LEFT(Year,4)&amp;RIGHT(Year,2)</f>
        <v>202425</v>
      </c>
      <c r="C18" s="2" t="s">
        <v>29</v>
      </c>
      <c r="D18" s="2">
        <f t="shared" si="1"/>
        <v>17</v>
      </c>
      <c r="E18" s="2">
        <f t="shared" si="2"/>
        <v>4</v>
      </c>
      <c r="F18" s="2">
        <f>UANumber</f>
        <v>0</v>
      </c>
      <c r="G18" s="20">
        <f t="shared" si="4"/>
        <v>0</v>
      </c>
      <c r="H18" s="20">
        <f t="shared" si="5"/>
        <v>0</v>
      </c>
      <c r="I18" s="20">
        <f t="shared" si="6"/>
        <v>0</v>
      </c>
      <c r="J18" s="20">
        <f t="shared" si="9"/>
        <v>0</v>
      </c>
      <c r="K18" s="20">
        <f t="shared" si="9"/>
        <v>0</v>
      </c>
      <c r="L18" s="20">
        <f t="shared" si="9"/>
        <v>0</v>
      </c>
      <c r="M18" s="20">
        <f t="shared" si="9"/>
        <v>0</v>
      </c>
      <c r="N18" s="20">
        <f t="shared" si="9"/>
        <v>0</v>
      </c>
      <c r="O18" s="20">
        <f t="shared" si="9"/>
        <v>0</v>
      </c>
      <c r="P18" s="20">
        <f t="shared" si="9"/>
        <v>0</v>
      </c>
      <c r="Q18" s="277">
        <f t="shared" si="9"/>
        <v>0</v>
      </c>
      <c r="T18" s="1">
        <v>17</v>
      </c>
      <c r="U18" s="1">
        <v>4</v>
      </c>
      <c r="W18" s="1" t="str">
        <f>'BR2'!D36</f>
        <v xml:space="preserve">Authority: </v>
      </c>
      <c r="X18" s="1"/>
      <c r="Z18" s="4"/>
      <c r="AA18" s="4"/>
      <c r="AB18" s="277"/>
      <c r="AC18" s="277"/>
      <c r="AD18" s="282" t="str">
        <f t="shared" si="8"/>
        <v>566_4_202223</v>
      </c>
      <c r="AE18" s="282">
        <v>202223</v>
      </c>
      <c r="AF18" s="282" t="s">
        <v>29</v>
      </c>
      <c r="AG18" s="282">
        <v>566</v>
      </c>
      <c r="AH18" s="282">
        <v>4</v>
      </c>
      <c r="AI18" s="282" t="s">
        <v>53</v>
      </c>
      <c r="AJ18" s="283">
        <v>71894556</v>
      </c>
      <c r="AL18" s="1" t="s">
        <v>3392</v>
      </c>
      <c r="AM18" s="1" t="s">
        <v>3393</v>
      </c>
      <c r="AN18" s="292" t="str">
        <f>IF(Details!$G$2=2,AL18,AM18)</f>
        <v>TYPE FIELD KEY</v>
      </c>
    </row>
    <row r="19" spans="2:40">
      <c r="B19" s="2" t="str">
        <f>LEFT(Year,4)&amp;RIGHT(Year,2)</f>
        <v>202425</v>
      </c>
      <c r="C19" s="2" t="s">
        <v>29</v>
      </c>
      <c r="D19" s="2">
        <f t="shared" si="1"/>
        <v>18</v>
      </c>
      <c r="E19" s="2">
        <f t="shared" si="2"/>
        <v>4</v>
      </c>
      <c r="F19" s="2">
        <f>UANumber</f>
        <v>0</v>
      </c>
      <c r="G19" s="20">
        <f t="shared" si="4"/>
        <v>0</v>
      </c>
      <c r="H19" s="20">
        <f t="shared" si="5"/>
        <v>0</v>
      </c>
      <c r="I19" s="20">
        <f t="shared" si="6"/>
        <v>0</v>
      </c>
      <c r="J19" s="20" t="str">
        <f t="shared" si="9"/>
        <v/>
      </c>
      <c r="K19" s="20" t="str">
        <f t="shared" si="9"/>
        <v/>
      </c>
      <c r="L19" s="20" t="str">
        <f t="shared" si="9"/>
        <v/>
      </c>
      <c r="M19" s="20" t="str">
        <f t="shared" si="9"/>
        <v/>
      </c>
      <c r="N19" s="20" t="str">
        <f t="shared" si="9"/>
        <v/>
      </c>
      <c r="O19" s="20" t="str">
        <f t="shared" si="9"/>
        <v/>
      </c>
      <c r="P19" s="20" t="str">
        <f t="shared" si="9"/>
        <v/>
      </c>
      <c r="Q19" s="277" t="str">
        <f t="shared" si="9"/>
        <v/>
      </c>
      <c r="T19" s="1">
        <v>18</v>
      </c>
      <c r="U19" s="1">
        <v>4</v>
      </c>
      <c r="W19" s="1" t="str">
        <f>'BR2'!D37</f>
        <v>Total of lines 11 to 17 (to agree with lines 7 and 6 above)</v>
      </c>
      <c r="X19" s="1"/>
      <c r="Z19" s="4"/>
      <c r="AA19" s="4"/>
      <c r="AB19" s="277"/>
      <c r="AC19" s="277"/>
      <c r="AD19" s="282" t="str">
        <f t="shared" si="8"/>
        <v>568_4_202223</v>
      </c>
      <c r="AE19" s="282">
        <v>202223</v>
      </c>
      <c r="AF19" s="282" t="s">
        <v>29</v>
      </c>
      <c r="AG19" s="282">
        <v>568</v>
      </c>
      <c r="AH19" s="282">
        <v>4</v>
      </c>
      <c r="AI19" s="282" t="s">
        <v>53</v>
      </c>
      <c r="AJ19" s="283">
        <v>131917723</v>
      </c>
      <c r="AL19" s="1" t="s">
        <v>3394</v>
      </c>
      <c r="AM19" s="1" t="s">
        <v>3395</v>
      </c>
      <c r="AN19" s="292" t="str">
        <f>IF(Details!$G$2=2,AL19,AM19)</f>
        <v>1. value only breach</v>
      </c>
    </row>
    <row r="20" spans="2:40">
      <c r="AD20" s="282" t="str">
        <f t="shared" si="8"/>
        <v>562_5_202223</v>
      </c>
      <c r="AE20" s="282">
        <v>202223</v>
      </c>
      <c r="AF20" s="282" t="s">
        <v>29</v>
      </c>
      <c r="AG20" s="282">
        <v>562</v>
      </c>
      <c r="AH20" s="282">
        <v>5</v>
      </c>
      <c r="AI20" s="282" t="s">
        <v>3365</v>
      </c>
      <c r="AJ20" s="283">
        <v>60684376</v>
      </c>
      <c r="AL20" s="1" t="s">
        <v>3396</v>
      </c>
      <c r="AM20" s="1" t="s">
        <v>3397</v>
      </c>
      <c r="AN20" s="292" t="str">
        <f>IF(Details!$G$2=2,AL20,AM20)</f>
        <v>2.  % only breach</v>
      </c>
    </row>
    <row r="21" spans="2:40">
      <c r="AD21" s="282" t="str">
        <f t="shared" si="8"/>
        <v>564_5_202223</v>
      </c>
      <c r="AE21" s="282">
        <v>202223</v>
      </c>
      <c r="AF21" s="282" t="s">
        <v>29</v>
      </c>
      <c r="AG21" s="282">
        <v>564</v>
      </c>
      <c r="AH21" s="282">
        <v>5</v>
      </c>
      <c r="AI21" s="282" t="s">
        <v>3365</v>
      </c>
      <c r="AJ21" s="283">
        <v>88281956</v>
      </c>
      <c r="AL21" s="1" t="s">
        <v>3398</v>
      </c>
      <c r="AM21" s="1" t="s">
        <v>3399</v>
      </c>
      <c r="AN21" s="292" t="str">
        <f>IF(Details!$G$2=2,AL21,AM21)</f>
        <v>3. both breached</v>
      </c>
    </row>
    <row r="22" spans="2:40">
      <c r="AD22" s="282" t="str">
        <f t="shared" si="8"/>
        <v>566_5_202223</v>
      </c>
      <c r="AE22" s="282">
        <v>202223</v>
      </c>
      <c r="AF22" s="282" t="s">
        <v>29</v>
      </c>
      <c r="AG22" s="282">
        <v>566</v>
      </c>
      <c r="AH22" s="282">
        <v>5</v>
      </c>
      <c r="AI22" s="282" t="s">
        <v>3365</v>
      </c>
      <c r="AJ22" s="283">
        <v>88407132</v>
      </c>
      <c r="AL22" s="1" t="s">
        <v>3436</v>
      </c>
      <c r="AM22" s="1" t="s">
        <v>3435</v>
      </c>
      <c r="AN22" s="292" t="str">
        <f>IF(Details!$G$2=2,AL22,AM22)</f>
        <v>4. total not = zero</v>
      </c>
    </row>
    <row r="23" spans="2:40">
      <c r="AD23" s="282" t="str">
        <f t="shared" si="8"/>
        <v>568_5_202223</v>
      </c>
      <c r="AE23" s="282">
        <v>202223</v>
      </c>
      <c r="AF23" s="282" t="s">
        <v>29</v>
      </c>
      <c r="AG23" s="282">
        <v>568</v>
      </c>
      <c r="AH23" s="282">
        <v>5</v>
      </c>
      <c r="AI23" s="282" t="s">
        <v>3365</v>
      </c>
      <c r="AJ23" s="283">
        <v>194269240</v>
      </c>
      <c r="AL23" s="1" t="s">
        <v>3400</v>
      </c>
      <c r="AM23" s="1" t="s">
        <v>3401</v>
      </c>
      <c r="AN23" s="292" t="str">
        <f>IF(Details!$G$2=2,AL23,AM23)</f>
        <v>9. either figure is zero</v>
      </c>
    </row>
    <row r="24" spans="2:40">
      <c r="AD24" s="282" t="str">
        <f t="shared" si="8"/>
        <v>562_6_202223</v>
      </c>
      <c r="AE24" s="282">
        <v>202223</v>
      </c>
      <c r="AF24" s="282" t="s">
        <v>29</v>
      </c>
      <c r="AG24" s="282">
        <v>562</v>
      </c>
      <c r="AH24" s="282">
        <v>6</v>
      </c>
      <c r="AI24" s="282" t="s">
        <v>3191</v>
      </c>
      <c r="AJ24" s="283">
        <v>66836734</v>
      </c>
    </row>
    <row r="25" spans="2:40">
      <c r="AD25" s="282" t="str">
        <f t="shared" si="8"/>
        <v>564_6_202223</v>
      </c>
      <c r="AE25" s="282">
        <v>202223</v>
      </c>
      <c r="AF25" s="282" t="s">
        <v>29</v>
      </c>
      <c r="AG25" s="282">
        <v>564</v>
      </c>
      <c r="AH25" s="282">
        <v>6</v>
      </c>
      <c r="AI25" s="282" t="s">
        <v>3191</v>
      </c>
      <c r="AJ25" s="283">
        <v>68144822</v>
      </c>
    </row>
    <row r="26" spans="2:40">
      <c r="AD26" s="282" t="str">
        <f t="shared" si="8"/>
        <v>566_6_202223</v>
      </c>
      <c r="AE26" s="282">
        <v>202223</v>
      </c>
      <c r="AF26" s="282" t="s">
        <v>29</v>
      </c>
      <c r="AG26" s="282">
        <v>566</v>
      </c>
      <c r="AH26" s="282">
        <v>6</v>
      </c>
      <c r="AI26" s="282" t="s">
        <v>3191</v>
      </c>
      <c r="AJ26" s="283">
        <v>93861219</v>
      </c>
      <c r="AL26" s="280" t="s">
        <v>3424</v>
      </c>
    </row>
    <row r="27" spans="2:40">
      <c r="AD27" s="282" t="str">
        <f t="shared" si="8"/>
        <v>568_6_202223</v>
      </c>
      <c r="AE27" s="282">
        <v>202223</v>
      </c>
      <c r="AF27" s="282" t="s">
        <v>29</v>
      </c>
      <c r="AG27" s="282">
        <v>568</v>
      </c>
      <c r="AH27" s="282">
        <v>6</v>
      </c>
      <c r="AI27" s="282" t="s">
        <v>3191</v>
      </c>
      <c r="AJ27" s="283">
        <v>152098982</v>
      </c>
      <c r="AL27" s="280" t="s">
        <v>248</v>
      </c>
      <c r="AM27" s="280" t="s">
        <v>250</v>
      </c>
      <c r="AN27" s="293" t="s">
        <v>3371</v>
      </c>
    </row>
    <row r="28" spans="2:40">
      <c r="AD28" s="282" t="str">
        <f t="shared" si="8"/>
        <v>562_7_202223</v>
      </c>
      <c r="AE28" s="282">
        <v>202223</v>
      </c>
      <c r="AF28" s="282" t="s">
        <v>29</v>
      </c>
      <c r="AG28" s="282">
        <v>562</v>
      </c>
      <c r="AH28" s="282">
        <v>7</v>
      </c>
      <c r="AI28" s="282" t="s">
        <v>48</v>
      </c>
      <c r="AJ28" s="283">
        <v>230344.41</v>
      </c>
      <c r="AL28" s="292" t="s">
        <v>3402</v>
      </c>
      <c r="AM28" s="292" t="s">
        <v>3403</v>
      </c>
      <c r="AN28" s="292" t="str">
        <f>IF(Details!$G$2=2,AL28,AM28)</f>
        <v>select</v>
      </c>
    </row>
    <row r="29" spans="2:40">
      <c r="AD29" s="282" t="str">
        <f t="shared" si="8"/>
        <v>564_7_202223</v>
      </c>
      <c r="AE29" s="282">
        <v>202223</v>
      </c>
      <c r="AF29" s="282" t="s">
        <v>29</v>
      </c>
      <c r="AG29" s="282">
        <v>564</v>
      </c>
      <c r="AH29" s="282">
        <v>7</v>
      </c>
      <c r="AI29" s="282" t="s">
        <v>48</v>
      </c>
      <c r="AJ29" s="283">
        <v>224308.17</v>
      </c>
      <c r="AL29" s="292" t="s">
        <v>3404</v>
      </c>
      <c r="AM29" s="292" t="s">
        <v>3405</v>
      </c>
      <c r="AN29" s="292" t="str">
        <f>IF(Details!$G$2=2,AL29,AM29)</f>
        <v>row</v>
      </c>
    </row>
    <row r="30" spans="2:40">
      <c r="AD30" s="282" t="str">
        <f t="shared" si="8"/>
        <v>566_7_202223</v>
      </c>
      <c r="AE30" s="282">
        <v>202223</v>
      </c>
      <c r="AF30" s="282" t="s">
        <v>29</v>
      </c>
      <c r="AG30" s="282">
        <v>566</v>
      </c>
      <c r="AH30" s="282">
        <v>7</v>
      </c>
      <c r="AI30" s="282" t="s">
        <v>48</v>
      </c>
      <c r="AJ30" s="283">
        <v>296279.09999999998</v>
      </c>
      <c r="AL30" s="292" t="s">
        <v>3406</v>
      </c>
      <c r="AM30" s="292" t="s">
        <v>3407</v>
      </c>
      <c r="AN30" s="292" t="str">
        <f>IF(Details!$G$2=2,AL30,AM30)</f>
        <v>column</v>
      </c>
    </row>
    <row r="31" spans="2:40">
      <c r="AD31" s="282" t="str">
        <f t="shared" si="8"/>
        <v>568_7_202223</v>
      </c>
      <c r="AE31" s="282">
        <v>202223</v>
      </c>
      <c r="AF31" s="282" t="s">
        <v>29</v>
      </c>
      <c r="AG31" s="282">
        <v>568</v>
      </c>
      <c r="AH31" s="282">
        <v>7</v>
      </c>
      <c r="AI31" s="282" t="s">
        <v>48</v>
      </c>
      <c r="AJ31" s="283">
        <v>503455.63</v>
      </c>
      <c r="AL31" s="292" t="s">
        <v>3408</v>
      </c>
      <c r="AM31" s="292" t="s">
        <v>3409</v>
      </c>
      <c r="AN31" s="292" t="str">
        <f>IF(Details!$G$2=2,AL31,AM31)</f>
        <v>row description (sum lines shown in bold)</v>
      </c>
    </row>
    <row r="32" spans="2:40">
      <c r="AD32" s="282" t="str">
        <f t="shared" si="8"/>
        <v>562_8_202223</v>
      </c>
      <c r="AE32" s="282">
        <v>202223</v>
      </c>
      <c r="AF32" s="282" t="s">
        <v>29</v>
      </c>
      <c r="AG32" s="282">
        <v>562</v>
      </c>
      <c r="AH32" s="282">
        <v>8</v>
      </c>
      <c r="AI32" s="282" t="s">
        <v>3366</v>
      </c>
      <c r="AJ32" s="283">
        <v>290.16000000000003</v>
      </c>
      <c r="AL32" s="292" t="s">
        <v>3410</v>
      </c>
      <c r="AM32" s="292" t="s">
        <v>3411</v>
      </c>
      <c r="AN32" s="292" t="str">
        <f>IF(Details!$G$2=2,AL32,AM32)</f>
        <v>value</v>
      </c>
    </row>
    <row r="33" spans="24:40">
      <c r="AD33" s="282" t="str">
        <f t="shared" si="8"/>
        <v>564_8_202223</v>
      </c>
      <c r="AE33" s="282">
        <v>202223</v>
      </c>
      <c r="AF33" s="282" t="s">
        <v>29</v>
      </c>
      <c r="AG33" s="282">
        <v>564</v>
      </c>
      <c r="AH33" s="282">
        <v>8</v>
      </c>
      <c r="AI33" s="282" t="s">
        <v>3366</v>
      </c>
      <c r="AJ33" s="283">
        <v>303.8</v>
      </c>
      <c r="AL33" s="292" t="s">
        <v>3343</v>
      </c>
      <c r="AM33" s="292" t="s">
        <v>3412</v>
      </c>
      <c r="AN33" s="292" t="str">
        <f>IF(Details!$G$2=2,AL33,AM33)</f>
        <v>type</v>
      </c>
    </row>
    <row r="34" spans="24:40">
      <c r="AD34" s="282" t="str">
        <f t="shared" si="8"/>
        <v>566_8_202223</v>
      </c>
      <c r="AE34" s="282">
        <v>202223</v>
      </c>
      <c r="AF34" s="282" t="s">
        <v>29</v>
      </c>
      <c r="AG34" s="282">
        <v>566</v>
      </c>
      <c r="AH34" s="282">
        <v>8</v>
      </c>
      <c r="AI34" s="282" t="s">
        <v>3366</v>
      </c>
      <c r="AJ34" s="283">
        <v>316.8</v>
      </c>
      <c r="AL34" s="292" t="s">
        <v>3344</v>
      </c>
      <c r="AM34" s="292" t="s">
        <v>3413</v>
      </c>
      <c r="AN34" s="292" t="str">
        <f>IF(Details!$G$2=2,AL34,AM34)</f>
        <v>auto</v>
      </c>
    </row>
    <row r="35" spans="24:40">
      <c r="AD35" s="282" t="str">
        <f t="shared" si="8"/>
        <v>568_8_202223</v>
      </c>
      <c r="AE35" s="282">
        <v>202223</v>
      </c>
      <c r="AF35" s="282" t="s">
        <v>29</v>
      </c>
      <c r="AG35" s="282">
        <v>568</v>
      </c>
      <c r="AH35" s="282">
        <v>8</v>
      </c>
      <c r="AI35" s="282" t="s">
        <v>3366</v>
      </c>
      <c r="AJ35" s="283">
        <v>302.11</v>
      </c>
      <c r="AL35" s="292" t="s">
        <v>3345</v>
      </c>
      <c r="AM35" s="292" t="s">
        <v>3414</v>
      </c>
      <c r="AN35" s="292" t="str">
        <f>IF(Details!$G$2=2,AL35,AM35)</f>
        <v>mark</v>
      </c>
    </row>
    <row r="36" spans="24:40">
      <c r="AD36" s="282" t="str">
        <f t="shared" ref="AD36:AD67" si="10">AG36&amp;"_"&amp;AH36&amp;"_"&amp;AE36</f>
        <v>562_1_202324</v>
      </c>
      <c r="AE36" s="282">
        <v>202324</v>
      </c>
      <c r="AF36" s="282" t="s">
        <v>29</v>
      </c>
      <c r="AG36" s="282">
        <v>562</v>
      </c>
      <c r="AH36" s="282">
        <v>1</v>
      </c>
      <c r="AI36" s="282" t="s">
        <v>30</v>
      </c>
      <c r="AJ36" s="283">
        <v>133414409.23</v>
      </c>
      <c r="AL36" s="292" t="s">
        <v>3346</v>
      </c>
      <c r="AM36" s="292" t="s">
        <v>3415</v>
      </c>
      <c r="AN36" s="292" t="str">
        <f>IF(Details!$G$2=2,AL36,AM36)</f>
        <v>check</v>
      </c>
    </row>
    <row r="37" spans="24:40">
      <c r="AD37" s="282" t="str">
        <f t="shared" si="10"/>
        <v>564_1_202324</v>
      </c>
      <c r="AE37" s="282">
        <v>202324</v>
      </c>
      <c r="AF37" s="282" t="s">
        <v>29</v>
      </c>
      <c r="AG37" s="282">
        <v>564</v>
      </c>
      <c r="AH37" s="282">
        <v>1</v>
      </c>
      <c r="AI37" s="282" t="s">
        <v>30</v>
      </c>
      <c r="AJ37" s="283">
        <v>161586891</v>
      </c>
      <c r="AL37" s="292" t="s">
        <v>3347</v>
      </c>
      <c r="AM37" s="292" t="s">
        <v>3416</v>
      </c>
      <c r="AN37" s="292" t="str">
        <f>IF(Details!$G$2=2,AL37,AM37)</f>
        <v>status</v>
      </c>
    </row>
    <row r="38" spans="24:40">
      <c r="AD38" s="282" t="str">
        <f t="shared" si="10"/>
        <v>566_1_202324</v>
      </c>
      <c r="AE38" s="282">
        <v>202324</v>
      </c>
      <c r="AF38" s="282" t="s">
        <v>29</v>
      </c>
      <c r="AG38" s="282">
        <v>566</v>
      </c>
      <c r="AH38" s="282">
        <v>1</v>
      </c>
      <c r="AI38" s="282" t="s">
        <v>30</v>
      </c>
      <c r="AJ38" s="283">
        <v>188959206</v>
      </c>
      <c r="AL38" s="292" t="s">
        <v>3427</v>
      </c>
      <c r="AM38" s="292" t="s">
        <v>3429</v>
      </c>
      <c r="AN38" s="292" t="str">
        <f>IF(Details!$G$2=2,AL38,AM38)</f>
        <v>Your comments</v>
      </c>
    </row>
    <row r="39" spans="24:40">
      <c r="X39" s="1"/>
      <c r="AD39" s="282" t="str">
        <f t="shared" si="10"/>
        <v>568_1_202324</v>
      </c>
      <c r="AE39" s="282">
        <v>202324</v>
      </c>
      <c r="AF39" s="282" t="s">
        <v>29</v>
      </c>
      <c r="AG39" s="282">
        <v>568</v>
      </c>
      <c r="AH39" s="282">
        <v>1</v>
      </c>
      <c r="AI39" s="282" t="s">
        <v>30</v>
      </c>
      <c r="AJ39" s="283">
        <v>358698700</v>
      </c>
      <c r="AL39" s="292" t="s">
        <v>3428</v>
      </c>
      <c r="AM39" s="292" t="s">
        <v>3417</v>
      </c>
      <c r="AN39" s="292" t="str">
        <f>IF(Details!$G$2=2,AL39,AM39)</f>
        <v>Our comments</v>
      </c>
    </row>
    <row r="40" spans="24:40">
      <c r="X40" s="1"/>
      <c r="AD40" s="282" t="str">
        <f t="shared" si="10"/>
        <v>562_2_202324</v>
      </c>
      <c r="AE40" s="282">
        <v>202324</v>
      </c>
      <c r="AF40" s="282" t="s">
        <v>29</v>
      </c>
      <c r="AG40" s="282">
        <v>562</v>
      </c>
      <c r="AH40" s="282">
        <v>2</v>
      </c>
      <c r="AI40" s="282" t="s">
        <v>1</v>
      </c>
      <c r="AJ40" s="283">
        <v>172693.57934498193</v>
      </c>
      <c r="AL40" s="292" t="s">
        <v>3430</v>
      </c>
      <c r="AM40" s="292" t="s">
        <v>3418</v>
      </c>
      <c r="AN40" s="292" t="str">
        <f>IF(Details!$G$2=2,AL40,AM40)</f>
        <v>signed by</v>
      </c>
    </row>
    <row r="41" spans="24:40">
      <c r="AD41" s="282" t="str">
        <f t="shared" si="10"/>
        <v>564_2_202324</v>
      </c>
      <c r="AE41" s="282">
        <v>202324</v>
      </c>
      <c r="AF41" s="282" t="s">
        <v>29</v>
      </c>
      <c r="AG41" s="282">
        <v>564</v>
      </c>
      <c r="AH41" s="282">
        <v>2</v>
      </c>
      <c r="AI41" s="282" t="s">
        <v>1</v>
      </c>
      <c r="AJ41" s="283">
        <v>191241.29156115514</v>
      </c>
      <c r="AL41" s="292" t="s">
        <v>3350</v>
      </c>
      <c r="AM41" s="292" t="s">
        <v>3419</v>
      </c>
      <c r="AN41" s="292" t="str">
        <f>IF(Details!$G$2=2,AL41,AM41)</f>
        <v>date</v>
      </c>
    </row>
    <row r="42" spans="24:40">
      <c r="AD42" s="282" t="str">
        <f t="shared" si="10"/>
        <v>566_2_202324</v>
      </c>
      <c r="AE42" s="282">
        <v>202324</v>
      </c>
      <c r="AF42" s="282" t="s">
        <v>29</v>
      </c>
      <c r="AG42" s="282">
        <v>566</v>
      </c>
      <c r="AH42" s="282">
        <v>2</v>
      </c>
      <c r="AI42" s="282" t="s">
        <v>1</v>
      </c>
      <c r="AJ42" s="283">
        <v>226957.14087768164</v>
      </c>
      <c r="AL42" s="292" t="s">
        <v>3342</v>
      </c>
      <c r="AM42" s="292" t="s">
        <v>3420</v>
      </c>
      <c r="AN42" s="292" t="str">
        <f>IF(Details!$G$2=2,AL42,AM42)</f>
        <v>difference</v>
      </c>
    </row>
    <row r="43" spans="24:40">
      <c r="AD43" s="282" t="str">
        <f t="shared" si="10"/>
        <v>568_2_202324</v>
      </c>
      <c r="AE43" s="282">
        <v>202324</v>
      </c>
      <c r="AF43" s="282" t="s">
        <v>29</v>
      </c>
      <c r="AG43" s="282">
        <v>568</v>
      </c>
      <c r="AH43" s="282">
        <v>2</v>
      </c>
      <c r="AI43" s="282" t="s">
        <v>1</v>
      </c>
      <c r="AJ43" s="283">
        <v>431107.98821618129</v>
      </c>
      <c r="AL43" s="292" t="s">
        <v>3441</v>
      </c>
      <c r="AM43" s="292" t="s">
        <v>3442</v>
      </c>
      <c r="AN43" s="292" t="str">
        <f>IF(Details!$G$2=2,AL43,AM43)</f>
        <v>tolerance:</v>
      </c>
    </row>
    <row r="44" spans="24:40">
      <c r="AD44" s="282" t="str">
        <f t="shared" si="10"/>
        <v>562_3_202324</v>
      </c>
      <c r="AE44" s="282">
        <v>202324</v>
      </c>
      <c r="AF44" s="282" t="s">
        <v>29</v>
      </c>
      <c r="AG44" s="282">
        <v>562</v>
      </c>
      <c r="AH44" s="282">
        <v>3</v>
      </c>
      <c r="AI44" s="282" t="s">
        <v>2</v>
      </c>
      <c r="AJ44" s="283">
        <v>8319003</v>
      </c>
      <c r="AL44" s="292" t="s">
        <v>3340</v>
      </c>
      <c r="AM44" s="292" t="s">
        <v>3421</v>
      </c>
      <c r="AN44" s="292" t="str">
        <f>IF(Details!$G$2=2,AL44,AM44)</f>
        <v>zero?</v>
      </c>
    </row>
    <row r="45" spans="24:40">
      <c r="AD45" s="282" t="str">
        <f t="shared" si="10"/>
        <v>564_3_202324</v>
      </c>
      <c r="AE45" s="282">
        <v>202324</v>
      </c>
      <c r="AF45" s="282" t="s">
        <v>29</v>
      </c>
      <c r="AG45" s="282">
        <v>564</v>
      </c>
      <c r="AH45" s="282">
        <v>3</v>
      </c>
      <c r="AI45" s="282" t="s">
        <v>2</v>
      </c>
      <c r="AJ45" s="283">
        <v>25877481</v>
      </c>
      <c r="AL45" s="292" t="s">
        <v>1946</v>
      </c>
      <c r="AM45" s="292" t="s">
        <v>1947</v>
      </c>
      <c r="AN45" s="292" t="str">
        <f>IF(Details!$G$2=2,AL45,AM45)</f>
        <v>Totals</v>
      </c>
    </row>
    <row r="46" spans="24:40">
      <c r="AD46" s="282" t="str">
        <f t="shared" si="10"/>
        <v>566_3_202324</v>
      </c>
      <c r="AE46" s="282">
        <v>202324</v>
      </c>
      <c r="AF46" s="282" t="s">
        <v>29</v>
      </c>
      <c r="AG46" s="282">
        <v>566</v>
      </c>
      <c r="AH46" s="282">
        <v>3</v>
      </c>
      <c r="AI46" s="282" t="s">
        <v>2</v>
      </c>
      <c r="AJ46" s="283">
        <v>16107303.000000002</v>
      </c>
      <c r="AL46" s="292" t="s">
        <v>3422</v>
      </c>
      <c r="AM46" s="292" t="s">
        <v>3423</v>
      </c>
      <c r="AN46" s="292" t="str">
        <f>IF(Details!$G$2=2,AL46,AM46)</f>
        <v>Please follow the instructions below when completing this page:</v>
      </c>
    </row>
    <row r="47" spans="24:40">
      <c r="AD47" s="282" t="str">
        <f t="shared" si="10"/>
        <v>568_3_202324</v>
      </c>
      <c r="AE47" s="282">
        <v>202324</v>
      </c>
      <c r="AF47" s="282" t="s">
        <v>29</v>
      </c>
      <c r="AG47" s="282">
        <v>568</v>
      </c>
      <c r="AH47" s="282">
        <v>3</v>
      </c>
      <c r="AI47" s="282" t="s">
        <v>2</v>
      </c>
      <c r="AJ47" s="283">
        <v>62144213</v>
      </c>
      <c r="AL47" s="294" t="s">
        <v>3369</v>
      </c>
      <c r="AM47" s="292" t="s">
        <v>3433</v>
      </c>
      <c r="AN47" s="292" t="str">
        <f>IF(Details!$G$2=2,AL47,AM47)</f>
        <v>Any totals not = zero in column "V" will be flagged in 'auto' column and highlighted in red</v>
      </c>
    </row>
    <row r="48" spans="24:40">
      <c r="AD48" s="282" t="str">
        <f t="shared" si="10"/>
        <v>562_4_202324</v>
      </c>
      <c r="AE48" s="282">
        <v>202324</v>
      </c>
      <c r="AF48" s="282" t="s">
        <v>29</v>
      </c>
      <c r="AG48" s="282">
        <v>562</v>
      </c>
      <c r="AH48" s="282">
        <v>4</v>
      </c>
      <c r="AI48" s="282" t="s">
        <v>53</v>
      </c>
      <c r="AJ48" s="283">
        <v>52404283</v>
      </c>
      <c r="AL48" s="294" t="s">
        <v>3431</v>
      </c>
      <c r="AM48" s="292" t="s">
        <v>3432</v>
      </c>
      <c r="AN48" s="292" t="str">
        <f>IF(Details!$G$2=2,AL48,AM48)</f>
        <v>Arithmetic Checks</v>
      </c>
    </row>
    <row r="49" spans="30:40">
      <c r="AD49" s="282" t="str">
        <f t="shared" si="10"/>
        <v>564_4_202324</v>
      </c>
      <c r="AE49" s="282">
        <v>202324</v>
      </c>
      <c r="AF49" s="282" t="s">
        <v>29</v>
      </c>
      <c r="AG49" s="282">
        <v>564</v>
      </c>
      <c r="AH49" s="282">
        <v>4</v>
      </c>
      <c r="AI49" s="282" t="s">
        <v>53</v>
      </c>
      <c r="AJ49" s="283">
        <v>62519988</v>
      </c>
      <c r="AL49" s="294" t="s">
        <v>3341</v>
      </c>
      <c r="AM49" s="292" t="s">
        <v>3434</v>
      </c>
      <c r="AN49" s="292" t="str">
        <f>IF(Details!$G$2=2,AL49,AM49)</f>
        <v>YOY Figures</v>
      </c>
    </row>
    <row r="50" spans="30:40">
      <c r="AD50" s="282" t="str">
        <f t="shared" si="10"/>
        <v>566_4_202324</v>
      </c>
      <c r="AE50" s="282">
        <v>202324</v>
      </c>
      <c r="AF50" s="282" t="s">
        <v>29</v>
      </c>
      <c r="AG50" s="282">
        <v>566</v>
      </c>
      <c r="AH50" s="282">
        <v>4</v>
      </c>
      <c r="AI50" s="282" t="s">
        <v>53</v>
      </c>
      <c r="AJ50" s="283">
        <v>72380659</v>
      </c>
      <c r="AL50" s="292"/>
      <c r="AM50" s="292"/>
      <c r="AN50" s="292">
        <f>IF(Details!$G$2=2,AL50,AM50)</f>
        <v>0</v>
      </c>
    </row>
    <row r="51" spans="30:40">
      <c r="AD51" s="282" t="str">
        <f t="shared" si="10"/>
        <v>568_4_202324</v>
      </c>
      <c r="AE51" s="282">
        <v>202324</v>
      </c>
      <c r="AF51" s="282" t="s">
        <v>29</v>
      </c>
      <c r="AG51" s="282">
        <v>568</v>
      </c>
      <c r="AH51" s="282">
        <v>4</v>
      </c>
      <c r="AI51" s="282" t="s">
        <v>53</v>
      </c>
      <c r="AJ51" s="283">
        <v>132369360</v>
      </c>
      <c r="AL51" s="292"/>
      <c r="AM51" s="292"/>
      <c r="AN51" s="292">
        <f>IF(Details!$G$2=2,AL51,AM51)</f>
        <v>0</v>
      </c>
    </row>
    <row r="52" spans="30:40">
      <c r="AD52" s="282" t="str">
        <f t="shared" si="10"/>
        <v>562_5_202324</v>
      </c>
      <c r="AE52" s="282">
        <v>202324</v>
      </c>
      <c r="AF52" s="282" t="s">
        <v>29</v>
      </c>
      <c r="AG52" s="282">
        <v>562</v>
      </c>
      <c r="AH52" s="282">
        <v>5</v>
      </c>
      <c r="AI52" s="282" t="s">
        <v>3365</v>
      </c>
      <c r="AJ52" s="283">
        <v>60895979.57934498</v>
      </c>
      <c r="AL52" s="292"/>
      <c r="AM52" s="292"/>
      <c r="AN52" s="292">
        <f>IF(Details!$G$2=2,AL52,AM52)</f>
        <v>0</v>
      </c>
    </row>
    <row r="53" spans="30:40">
      <c r="AD53" s="282" t="str">
        <f t="shared" si="10"/>
        <v>564_5_202324</v>
      </c>
      <c r="AE53" s="282">
        <v>202324</v>
      </c>
      <c r="AF53" s="282" t="s">
        <v>29</v>
      </c>
      <c r="AG53" s="282">
        <v>564</v>
      </c>
      <c r="AH53" s="282">
        <v>5</v>
      </c>
      <c r="AI53" s="282" t="s">
        <v>3365</v>
      </c>
      <c r="AJ53" s="283">
        <v>88588710.291561157</v>
      </c>
      <c r="AL53" s="292"/>
      <c r="AM53" s="292"/>
      <c r="AN53" s="292">
        <f>IF(Details!$G$2=2,AL53,AM53)</f>
        <v>0</v>
      </c>
    </row>
    <row r="54" spans="30:40">
      <c r="AD54" s="282" t="str">
        <f t="shared" si="10"/>
        <v>566_5_202324</v>
      </c>
      <c r="AE54" s="282">
        <v>202324</v>
      </c>
      <c r="AF54" s="282" t="s">
        <v>29</v>
      </c>
      <c r="AG54" s="282">
        <v>566</v>
      </c>
      <c r="AH54" s="282">
        <v>5</v>
      </c>
      <c r="AI54" s="282" t="s">
        <v>3365</v>
      </c>
      <c r="AJ54" s="283">
        <v>88714919.140877679</v>
      </c>
      <c r="AL54" s="292"/>
      <c r="AM54" s="292"/>
      <c r="AN54" s="292">
        <f>IF(Details!$G$2=2,AL54,AM54)</f>
        <v>0</v>
      </c>
    </row>
    <row r="55" spans="30:40">
      <c r="AD55" s="282" t="str">
        <f t="shared" si="10"/>
        <v>568_5_202324</v>
      </c>
      <c r="AE55" s="282">
        <v>202324</v>
      </c>
      <c r="AF55" s="282" t="s">
        <v>29</v>
      </c>
      <c r="AG55" s="282">
        <v>568</v>
      </c>
      <c r="AH55" s="282">
        <v>5</v>
      </c>
      <c r="AI55" s="282" t="s">
        <v>3365</v>
      </c>
      <c r="AJ55" s="283">
        <v>194944680.98821619</v>
      </c>
    </row>
    <row r="56" spans="30:40">
      <c r="AD56" s="282" t="str">
        <f t="shared" si="10"/>
        <v>562_6_202324</v>
      </c>
      <c r="AE56" s="282">
        <v>202324</v>
      </c>
      <c r="AF56" s="282" t="s">
        <v>29</v>
      </c>
      <c r="AG56" s="282">
        <v>562</v>
      </c>
      <c r="AH56" s="282">
        <v>6</v>
      </c>
      <c r="AI56" s="282" t="s">
        <v>3191</v>
      </c>
      <c r="AJ56" s="283">
        <v>72518429.650655031</v>
      </c>
    </row>
    <row r="57" spans="30:40">
      <c r="AD57" s="282" t="str">
        <f t="shared" si="10"/>
        <v>564_6_202324</v>
      </c>
      <c r="AE57" s="282">
        <v>202324</v>
      </c>
      <c r="AF57" s="282" t="s">
        <v>29</v>
      </c>
      <c r="AG57" s="282">
        <v>564</v>
      </c>
      <c r="AH57" s="282">
        <v>6</v>
      </c>
      <c r="AI57" s="282" t="s">
        <v>3191</v>
      </c>
      <c r="AJ57" s="283">
        <v>72998180.708438843</v>
      </c>
    </row>
    <row r="58" spans="30:40">
      <c r="AD58" s="282" t="str">
        <f t="shared" si="10"/>
        <v>566_6_202324</v>
      </c>
      <c r="AE58" s="282">
        <v>202324</v>
      </c>
      <c r="AF58" s="282" t="s">
        <v>29</v>
      </c>
      <c r="AG58" s="282">
        <v>566</v>
      </c>
      <c r="AH58" s="282">
        <v>6</v>
      </c>
      <c r="AI58" s="282" t="s">
        <v>3191</v>
      </c>
      <c r="AJ58" s="283">
        <v>100244286.85912232</v>
      </c>
    </row>
    <row r="59" spans="30:40">
      <c r="AD59" s="282" t="str">
        <f t="shared" si="10"/>
        <v>568_6_202324</v>
      </c>
      <c r="AE59" s="282">
        <v>202324</v>
      </c>
      <c r="AF59" s="282" t="s">
        <v>29</v>
      </c>
      <c r="AG59" s="282">
        <v>568</v>
      </c>
      <c r="AH59" s="282">
        <v>6</v>
      </c>
      <c r="AI59" s="282" t="s">
        <v>3191</v>
      </c>
      <c r="AJ59" s="283">
        <v>163754019.01178381</v>
      </c>
    </row>
    <row r="60" spans="30:40">
      <c r="AD60" s="282" t="str">
        <f t="shared" si="10"/>
        <v>562_7_202324</v>
      </c>
      <c r="AE60" s="282">
        <v>202324</v>
      </c>
      <c r="AF60" s="282" t="s">
        <v>29</v>
      </c>
      <c r="AG60" s="282">
        <v>562</v>
      </c>
      <c r="AH60" s="282">
        <v>7</v>
      </c>
      <c r="AI60" s="282" t="s">
        <v>48</v>
      </c>
      <c r="AJ60" s="283">
        <v>231947.64</v>
      </c>
    </row>
    <row r="61" spans="30:40">
      <c r="AD61" s="282" t="str">
        <f t="shared" si="10"/>
        <v>564_7_202324</v>
      </c>
      <c r="AE61" s="282">
        <v>202324</v>
      </c>
      <c r="AF61" s="282" t="s">
        <v>29</v>
      </c>
      <c r="AG61" s="282">
        <v>564</v>
      </c>
      <c r="AH61" s="282">
        <v>7</v>
      </c>
      <c r="AI61" s="282" t="s">
        <v>48</v>
      </c>
      <c r="AJ61" s="283">
        <v>224942.01</v>
      </c>
    </row>
    <row r="62" spans="30:40">
      <c r="AD62" s="282" t="str">
        <f t="shared" si="10"/>
        <v>566_7_202324</v>
      </c>
      <c r="AE62" s="282">
        <v>202324</v>
      </c>
      <c r="AF62" s="282" t="s">
        <v>29</v>
      </c>
      <c r="AG62" s="282">
        <v>566</v>
      </c>
      <c r="AH62" s="282">
        <v>7</v>
      </c>
      <c r="AI62" s="282" t="s">
        <v>48</v>
      </c>
      <c r="AJ62" s="283">
        <v>300952.56</v>
      </c>
    </row>
    <row r="63" spans="30:40">
      <c r="AD63" s="282" t="str">
        <f t="shared" si="10"/>
        <v>568_7_202324</v>
      </c>
      <c r="AE63" s="282">
        <v>202324</v>
      </c>
      <c r="AF63" s="282" t="s">
        <v>29</v>
      </c>
      <c r="AG63" s="282">
        <v>568</v>
      </c>
      <c r="AH63" s="282">
        <v>7</v>
      </c>
      <c r="AI63" s="282" t="s">
        <v>48</v>
      </c>
      <c r="AJ63" s="283">
        <v>504681.53999999992</v>
      </c>
    </row>
    <row r="64" spans="30:40">
      <c r="AD64" s="282" t="str">
        <f t="shared" si="10"/>
        <v>562_8_202324</v>
      </c>
      <c r="AE64" s="282">
        <v>202324</v>
      </c>
      <c r="AF64" s="282" t="s">
        <v>29</v>
      </c>
      <c r="AG64" s="282">
        <v>562</v>
      </c>
      <c r="AH64" s="282">
        <v>8</v>
      </c>
      <c r="AI64" s="282" t="s">
        <v>3366</v>
      </c>
      <c r="AJ64" s="283">
        <v>312.64999999999998</v>
      </c>
    </row>
    <row r="65" spans="30:36">
      <c r="AD65" s="282" t="str">
        <f t="shared" si="10"/>
        <v>564_8_202324</v>
      </c>
      <c r="AE65" s="282">
        <v>202324</v>
      </c>
      <c r="AF65" s="282" t="s">
        <v>29</v>
      </c>
      <c r="AG65" s="282">
        <v>564</v>
      </c>
      <c r="AH65" s="282">
        <v>8</v>
      </c>
      <c r="AI65" s="282" t="s">
        <v>3366</v>
      </c>
      <c r="AJ65" s="283">
        <v>324.52</v>
      </c>
    </row>
    <row r="66" spans="30:36">
      <c r="AD66" s="282" t="str">
        <f t="shared" si="10"/>
        <v>566_8_202324</v>
      </c>
      <c r="AE66" s="282">
        <v>202324</v>
      </c>
      <c r="AF66" s="282" t="s">
        <v>29</v>
      </c>
      <c r="AG66" s="282">
        <v>566</v>
      </c>
      <c r="AH66" s="282">
        <v>8</v>
      </c>
      <c r="AI66" s="282" t="s">
        <v>3366</v>
      </c>
      <c r="AJ66" s="283">
        <v>333.09</v>
      </c>
    </row>
    <row r="67" spans="30:36">
      <c r="AD67" s="282" t="str">
        <f t="shared" si="10"/>
        <v>568_8_202324</v>
      </c>
      <c r="AE67" s="282">
        <v>202324</v>
      </c>
      <c r="AF67" s="282" t="s">
        <v>29</v>
      </c>
      <c r="AG67" s="282">
        <v>568</v>
      </c>
      <c r="AH67" s="282">
        <v>8</v>
      </c>
      <c r="AI67" s="282" t="s">
        <v>3366</v>
      </c>
      <c r="AJ67" s="283">
        <v>324.47000000000003</v>
      </c>
    </row>
  </sheetData>
  <sheetProtection sheet="1" objects="1" scenarios="1"/>
  <pageMargins left="0.7" right="0.7" top="0.75" bottom="0.75" header="0.3" footer="0.3"/>
  <pageSetup paperSize="9" orientation="portrait" horizontalDpi="300" verticalDpi="300" r:id="rId1"/>
  <legacyDrawing r:id="rId2"/>
  <tableParts count="2">
    <tablePart r:id="rId3"/>
    <tablePart r:id="rId4"/>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dimension ref="A1:AB56"/>
  <sheetViews>
    <sheetView showGridLines="0" tabSelected="1" zoomScaleNormal="100" workbookViewId="0"/>
  </sheetViews>
  <sheetFormatPr defaultColWidth="8.88671875" defaultRowHeight="15" customHeight="1"/>
  <cols>
    <col min="1" max="1" width="2.44140625" style="21" customWidth="1"/>
    <col min="2" max="2" width="3.21875" style="21" customWidth="1"/>
    <col min="3" max="3" width="2.21875" style="21" customWidth="1"/>
    <col min="4" max="4" width="3.33203125" style="21" customWidth="1"/>
    <col min="5" max="5" width="5.6640625" style="21" customWidth="1"/>
    <col min="6" max="6" width="22" style="21" customWidth="1"/>
    <col min="7" max="7" width="8.33203125" style="21" customWidth="1"/>
    <col min="8" max="8" width="6.77734375" style="21" customWidth="1"/>
    <col min="9" max="9" width="2.77734375" style="21" customWidth="1"/>
    <col min="10" max="10" width="6.44140625" style="21" customWidth="1"/>
    <col min="11" max="12" width="8.77734375" style="21" customWidth="1"/>
    <col min="13" max="13" width="7.109375" style="21" customWidth="1"/>
    <col min="14" max="14" width="2.21875" style="21" customWidth="1"/>
    <col min="15" max="15" width="6.33203125" style="21" customWidth="1"/>
    <col min="16" max="16" width="2.88671875" style="21" customWidth="1"/>
    <col min="17" max="16384" width="8.88671875" style="21"/>
  </cols>
  <sheetData>
    <row r="1" spans="1:17" ht="15" customHeight="1">
      <c r="A1" s="300"/>
      <c r="B1" s="499"/>
      <c r="C1" s="499"/>
      <c r="D1" s="499"/>
      <c r="E1" s="499"/>
      <c r="F1" s="499"/>
      <c r="G1" s="499"/>
      <c r="H1" s="499"/>
      <c r="I1" s="499"/>
      <c r="J1" s="300"/>
      <c r="K1" s="300"/>
      <c r="L1" s="300"/>
      <c r="M1" s="300"/>
      <c r="N1" s="300"/>
      <c r="O1" s="300"/>
      <c r="P1" s="300"/>
      <c r="Q1" s="300"/>
    </row>
    <row r="2" spans="1:17" ht="24" customHeight="1">
      <c r="A2" s="300"/>
      <c r="B2" s="500"/>
      <c r="C2" s="501"/>
      <c r="D2" s="637" t="str">
        <f>Text!F4&amp;", "&amp;Details!J3</f>
        <v>Budget Requirement Return, 2024-25</v>
      </c>
      <c r="E2" s="637"/>
      <c r="F2" s="637"/>
      <c r="G2" s="637"/>
      <c r="H2" s="502" t="s">
        <v>3148</v>
      </c>
      <c r="I2" s="502"/>
      <c r="J2" s="502"/>
      <c r="K2" s="502"/>
      <c r="L2" s="502"/>
      <c r="M2" s="503" t="s">
        <v>29</v>
      </c>
      <c r="N2" s="635">
        <v>1</v>
      </c>
      <c r="O2" s="636"/>
      <c r="P2" s="300"/>
      <c r="Q2" s="300"/>
    </row>
    <row r="3" spans="1:17" ht="15" customHeight="1">
      <c r="A3" s="300"/>
      <c r="B3" s="98"/>
      <c r="C3" s="99"/>
      <c r="D3" s="337"/>
      <c r="E3" s="337"/>
      <c r="F3" s="337"/>
      <c r="G3" s="337"/>
      <c r="H3" s="337"/>
      <c r="I3" s="99"/>
      <c r="J3" s="99"/>
      <c r="K3" s="99"/>
      <c r="L3" s="99"/>
      <c r="M3" s="99"/>
      <c r="N3" s="99"/>
      <c r="O3" s="107"/>
      <c r="P3" s="300"/>
      <c r="Q3" s="300"/>
    </row>
    <row r="4" spans="1:17" ht="16.5" customHeight="1">
      <c r="A4" s="300"/>
      <c r="B4" s="98"/>
      <c r="C4" s="99"/>
      <c r="D4" s="337" t="str">
        <f>Text!F5</f>
        <v>Police Authorities only</v>
      </c>
      <c r="E4" s="102"/>
      <c r="F4" s="102"/>
      <c r="G4" s="102"/>
      <c r="H4" s="102"/>
      <c r="I4" s="102"/>
      <c r="J4" s="102"/>
      <c r="K4" s="102"/>
      <c r="L4" s="102"/>
      <c r="M4" s="102"/>
      <c r="N4" s="102"/>
      <c r="O4" s="107"/>
      <c r="P4" s="300"/>
      <c r="Q4" s="300"/>
    </row>
    <row r="5" spans="1:17" ht="15" customHeight="1">
      <c r="A5" s="300"/>
      <c r="B5" s="98"/>
      <c r="C5" s="337"/>
      <c r="D5" s="102"/>
      <c r="E5" s="102"/>
      <c r="F5" s="102"/>
      <c r="G5" s="102"/>
      <c r="H5" s="102"/>
      <c r="I5" s="102"/>
      <c r="J5" s="102"/>
      <c r="K5" s="102"/>
      <c r="L5" s="102"/>
      <c r="M5" s="102"/>
      <c r="N5" s="102"/>
      <c r="O5" s="107"/>
      <c r="P5" s="300"/>
      <c r="Q5" s="300"/>
    </row>
    <row r="6" spans="1:17" ht="15" customHeight="1">
      <c r="A6" s="300"/>
      <c r="B6" s="98"/>
      <c r="C6" s="99"/>
      <c r="D6" s="99"/>
      <c r="E6" s="100"/>
      <c r="F6" s="99"/>
      <c r="G6" s="100"/>
      <c r="H6" s="99"/>
      <c r="I6" s="99"/>
      <c r="J6" s="99"/>
      <c r="K6" s="101"/>
      <c r="L6" s="102"/>
      <c r="M6" s="101"/>
      <c r="N6" s="103"/>
      <c r="O6" s="104"/>
      <c r="P6" s="300"/>
      <c r="Q6" s="300"/>
    </row>
    <row r="7" spans="1:17" ht="15" customHeight="1">
      <c r="A7" s="300"/>
      <c r="B7" s="98"/>
      <c r="C7" s="99"/>
      <c r="D7" s="99"/>
      <c r="E7" s="105">
        <v>2</v>
      </c>
      <c r="F7" s="99"/>
      <c r="G7" s="99"/>
      <c r="H7" s="99"/>
      <c r="I7" s="99"/>
      <c r="J7" s="99"/>
      <c r="K7" s="99"/>
      <c r="L7" s="106">
        <v>0</v>
      </c>
      <c r="M7" s="99"/>
      <c r="N7" s="99"/>
      <c r="O7" s="107"/>
      <c r="P7" s="300"/>
      <c r="Q7" s="300"/>
    </row>
    <row r="8" spans="1:17" ht="15" customHeight="1">
      <c r="A8" s="300"/>
      <c r="B8" s="98"/>
      <c r="C8" s="99"/>
      <c r="D8" s="99"/>
      <c r="E8" s="105"/>
      <c r="F8" s="99"/>
      <c r="G8" s="99"/>
      <c r="H8" s="99"/>
      <c r="I8" s="99"/>
      <c r="J8" s="99"/>
      <c r="K8" s="99"/>
      <c r="L8" s="106"/>
      <c r="M8" s="99"/>
      <c r="N8" s="99"/>
      <c r="O8" s="107"/>
      <c r="P8" s="300"/>
      <c r="Q8" s="300"/>
    </row>
    <row r="9" spans="1:17" ht="15" customHeight="1">
      <c r="A9" s="300"/>
      <c r="B9" s="98"/>
      <c r="C9" s="99"/>
      <c r="D9" s="110" t="str">
        <f>Text!F6</f>
        <v>Please select your authority and if necessary, amend any incorrect details</v>
      </c>
      <c r="E9" s="105"/>
      <c r="F9" s="99"/>
      <c r="G9" s="99"/>
      <c r="H9" s="99"/>
      <c r="I9" s="99"/>
      <c r="J9" s="99"/>
      <c r="K9" s="99"/>
      <c r="L9" s="106"/>
      <c r="M9" s="99"/>
      <c r="N9" s="99"/>
      <c r="O9" s="107"/>
      <c r="P9" s="300"/>
      <c r="Q9" s="300"/>
    </row>
    <row r="10" spans="1:17" ht="15" customHeight="1">
      <c r="A10" s="300"/>
      <c r="B10" s="98"/>
      <c r="C10" s="99"/>
      <c r="D10" s="99"/>
      <c r="E10" s="105"/>
      <c r="F10" s="99"/>
      <c r="G10" s="99"/>
      <c r="H10" s="99"/>
      <c r="I10" s="99"/>
      <c r="J10" s="99"/>
      <c r="K10" s="99"/>
      <c r="L10" s="106"/>
      <c r="M10" s="99"/>
      <c r="N10" s="99"/>
      <c r="O10" s="107"/>
      <c r="P10" s="300"/>
      <c r="Q10" s="300"/>
    </row>
    <row r="11" spans="1:17" ht="18" customHeight="1">
      <c r="A11" s="300"/>
      <c r="B11" s="98"/>
      <c r="C11" s="99"/>
      <c r="D11" s="99"/>
      <c r="E11" s="99"/>
      <c r="F11" s="167">
        <v>1</v>
      </c>
      <c r="G11" s="105">
        <v>5</v>
      </c>
      <c r="H11" s="99"/>
      <c r="I11" s="99"/>
      <c r="J11" s="99"/>
      <c r="K11" s="99"/>
      <c r="L11" s="99"/>
      <c r="M11" s="99"/>
      <c r="N11" s="99"/>
      <c r="O11" s="107"/>
      <c r="P11" s="300"/>
      <c r="Q11" s="300"/>
    </row>
    <row r="12" spans="1:17" ht="7.5" customHeight="1">
      <c r="A12" s="300"/>
      <c r="B12" s="98"/>
      <c r="C12" s="99"/>
      <c r="D12" s="99"/>
      <c r="E12" s="347"/>
      <c r="F12" s="347"/>
      <c r="G12" s="347"/>
      <c r="H12" s="99"/>
      <c r="I12" s="99"/>
      <c r="J12" s="99"/>
      <c r="K12" s="99"/>
      <c r="L12" s="99"/>
      <c r="M12" s="99"/>
      <c r="N12" s="99"/>
      <c r="O12" s="107"/>
      <c r="P12" s="300"/>
      <c r="Q12" s="300"/>
    </row>
    <row r="13" spans="1:17" ht="18.75" customHeight="1">
      <c r="A13" s="300"/>
      <c r="B13" s="98"/>
      <c r="C13" s="99"/>
      <c r="D13" s="99"/>
      <c r="E13" s="339"/>
      <c r="F13" s="338" t="str">
        <f>IF(UANumber=0,"",VLOOKUP(UANumber,Addresses,3,FALSE))</f>
        <v/>
      </c>
      <c r="G13" s="340"/>
      <c r="H13" s="108"/>
      <c r="I13" s="108"/>
      <c r="J13" s="108"/>
      <c r="K13" s="108"/>
      <c r="L13" s="99"/>
      <c r="M13" s="99"/>
      <c r="N13" s="99"/>
      <c r="O13" s="107"/>
      <c r="P13" s="300"/>
      <c r="Q13" s="300"/>
    </row>
    <row r="14" spans="1:17" ht="15" customHeight="1">
      <c r="A14" s="300"/>
      <c r="B14" s="98"/>
      <c r="C14" s="99"/>
      <c r="D14" s="99"/>
      <c r="E14" s="341"/>
      <c r="F14" s="342" t="str">
        <f>IF(UANumber=0,"",VLOOKUP(UANumber,Addresses,4,FALSE))</f>
        <v/>
      </c>
      <c r="G14" s="343"/>
      <c r="H14" s="108"/>
      <c r="I14" s="108"/>
      <c r="J14" s="108"/>
      <c r="K14" s="108"/>
      <c r="L14" s="99"/>
      <c r="M14" s="99"/>
      <c r="N14" s="99"/>
      <c r="O14" s="107"/>
      <c r="P14" s="300"/>
      <c r="Q14" s="300"/>
    </row>
    <row r="15" spans="1:17" ht="15" customHeight="1">
      <c r="A15" s="300"/>
      <c r="B15" s="98"/>
      <c r="C15" s="99"/>
      <c r="D15" s="99"/>
      <c r="E15" s="341"/>
      <c r="F15" s="342" t="str">
        <f>IF(UANumber=0,"",IF(VLOOKUP(UANumber,Addresses,5,FALSE)="","",VLOOKUP(UANumber,Addresses,5,FALSE)))</f>
        <v/>
      </c>
      <c r="G15" s="343"/>
      <c r="H15" s="108"/>
      <c r="I15" s="108"/>
      <c r="J15" s="108"/>
      <c r="K15" s="108"/>
      <c r="L15" s="99"/>
      <c r="M15" s="99"/>
      <c r="N15" s="99"/>
      <c r="O15" s="107"/>
      <c r="P15" s="300"/>
      <c r="Q15" s="300"/>
    </row>
    <row r="16" spans="1:17" ht="15" customHeight="1">
      <c r="A16" s="300"/>
      <c r="B16" s="98"/>
      <c r="C16" s="99"/>
      <c r="D16" s="99"/>
      <c r="E16" s="341"/>
      <c r="F16" s="342" t="str">
        <f>IF(UANumber=0,"",IF(VLOOKUP(UANumber,Addresses,6,FALSE)="","",VLOOKUP(UANumber,Addresses,6,FALSE)))</f>
        <v/>
      </c>
      <c r="G16" s="343"/>
      <c r="H16" s="108"/>
      <c r="I16" s="108"/>
      <c r="J16" s="108"/>
      <c r="K16" s="108"/>
      <c r="L16" s="99"/>
      <c r="M16" s="99"/>
      <c r="N16" s="99"/>
      <c r="O16" s="107"/>
      <c r="P16" s="300"/>
      <c r="Q16" s="300"/>
    </row>
    <row r="17" spans="1:17" ht="15" customHeight="1">
      <c r="A17" s="300"/>
      <c r="B17" s="98"/>
      <c r="C17" s="99"/>
      <c r="D17" s="99"/>
      <c r="E17" s="341"/>
      <c r="F17" s="342" t="str">
        <f>IF(UANumber=0,"",IF(VLOOKUP(UANumber,Addresses,7,FALSE)="","",VLOOKUP(UANumber,Addresses,7,FALSE)))</f>
        <v/>
      </c>
      <c r="G17" s="343"/>
      <c r="H17" s="108"/>
      <c r="I17" s="108"/>
      <c r="J17" s="108"/>
      <c r="K17" s="108"/>
      <c r="L17" s="99"/>
      <c r="M17" s="99"/>
      <c r="N17" s="99"/>
      <c r="O17" s="107"/>
      <c r="P17" s="300"/>
      <c r="Q17" s="300"/>
    </row>
    <row r="18" spans="1:17" ht="15" customHeight="1">
      <c r="A18" s="300"/>
      <c r="B18" s="98"/>
      <c r="C18" s="99"/>
      <c r="D18" s="99"/>
      <c r="E18" s="344"/>
      <c r="F18" s="345" t="str">
        <f>IF(UANumber=0,"",VLOOKUP(UANumber,Addresses,8,FALSE))</f>
        <v/>
      </c>
      <c r="G18" s="346"/>
      <c r="H18" s="108"/>
      <c r="I18" s="108"/>
      <c r="J18" s="108"/>
      <c r="K18" s="108"/>
      <c r="L18" s="99"/>
      <c r="M18" s="99"/>
      <c r="N18" s="99"/>
      <c r="O18" s="107"/>
      <c r="P18" s="300"/>
      <c r="Q18" s="300"/>
    </row>
    <row r="19" spans="1:17" ht="7.5" customHeight="1">
      <c r="A19" s="300"/>
      <c r="B19" s="98"/>
      <c r="C19" s="99"/>
      <c r="D19" s="99"/>
      <c r="E19" s="108"/>
      <c r="F19" s="108"/>
      <c r="G19" s="108"/>
      <c r="H19" s="108"/>
      <c r="I19" s="108"/>
      <c r="J19" s="108"/>
      <c r="K19" s="108"/>
      <c r="L19" s="99"/>
      <c r="M19" s="99"/>
      <c r="N19" s="99"/>
      <c r="O19" s="107"/>
      <c r="P19" s="300"/>
      <c r="Q19" s="300"/>
    </row>
    <row r="20" spans="1:17" ht="20.25" customHeight="1">
      <c r="A20" s="300"/>
      <c r="B20" s="98"/>
      <c r="C20" s="99"/>
      <c r="D20" s="99"/>
      <c r="E20" s="108"/>
      <c r="F20" s="365" t="str">
        <f>Text!F7&amp;" "</f>
        <v xml:space="preserve">Name: </v>
      </c>
      <c r="G20" s="638" t="str">
        <f>IF(UANumber=0,"",VLOOKUP(UANumber,Addresses,9,FALSE))</f>
        <v/>
      </c>
      <c r="H20" s="639"/>
      <c r="I20" s="639"/>
      <c r="J20" s="639"/>
      <c r="K20" s="639"/>
      <c r="L20" s="639"/>
      <c r="M20" s="639"/>
      <c r="N20" s="640"/>
      <c r="O20" s="107"/>
      <c r="P20" s="300"/>
      <c r="Q20" s="300"/>
    </row>
    <row r="21" spans="1:17" ht="20.25" customHeight="1">
      <c r="A21" s="300"/>
      <c r="B21" s="98"/>
      <c r="C21" s="99"/>
      <c r="D21" s="99"/>
      <c r="E21" s="108"/>
      <c r="F21" s="111"/>
      <c r="G21" s="641"/>
      <c r="H21" s="642"/>
      <c r="I21" s="642"/>
      <c r="J21" s="642"/>
      <c r="K21" s="642"/>
      <c r="L21" s="642"/>
      <c r="M21" s="642"/>
      <c r="N21" s="643"/>
      <c r="O21" s="107"/>
      <c r="P21" s="300"/>
      <c r="Q21" s="300"/>
    </row>
    <row r="22" spans="1:17" ht="7.5" customHeight="1">
      <c r="A22" s="300"/>
      <c r="B22" s="98"/>
      <c r="C22" s="99"/>
      <c r="D22" s="99"/>
      <c r="E22" s="108"/>
      <c r="F22" s="108"/>
      <c r="G22" s="112"/>
      <c r="H22" s="112"/>
      <c r="I22" s="112"/>
      <c r="J22" s="112"/>
      <c r="K22" s="112"/>
      <c r="L22" s="99"/>
      <c r="M22" s="99"/>
      <c r="N22" s="99"/>
      <c r="O22" s="107"/>
      <c r="P22" s="300"/>
      <c r="Q22" s="300"/>
    </row>
    <row r="23" spans="1:17" ht="20.25" customHeight="1">
      <c r="A23" s="300"/>
      <c r="B23" s="98"/>
      <c r="C23" s="99"/>
      <c r="D23" s="363"/>
      <c r="E23" s="363"/>
      <c r="F23" s="365" t="str">
        <f>Text!F8&amp;" "</f>
        <v xml:space="preserve">E-mail (please enter N/A if unavailable): </v>
      </c>
      <c r="G23" s="638" t="str">
        <f>IF(UANumber=0,"",VLOOKUP(UANumber,Addresses,12,FALSE))</f>
        <v/>
      </c>
      <c r="H23" s="639"/>
      <c r="I23" s="639"/>
      <c r="J23" s="639"/>
      <c r="K23" s="639"/>
      <c r="L23" s="639"/>
      <c r="M23" s="639"/>
      <c r="N23" s="640"/>
      <c r="O23" s="107"/>
      <c r="P23" s="300"/>
      <c r="Q23" s="300"/>
    </row>
    <row r="24" spans="1:17" ht="20.25" customHeight="1">
      <c r="A24" s="300"/>
      <c r="B24" s="98"/>
      <c r="C24" s="363"/>
      <c r="D24" s="363"/>
      <c r="E24" s="363"/>
      <c r="F24" s="364"/>
      <c r="G24" s="641"/>
      <c r="H24" s="642"/>
      <c r="I24" s="642"/>
      <c r="J24" s="642"/>
      <c r="K24" s="642"/>
      <c r="L24" s="642"/>
      <c r="M24" s="642"/>
      <c r="N24" s="643"/>
      <c r="O24" s="107"/>
      <c r="P24" s="300"/>
      <c r="Q24" s="300"/>
    </row>
    <row r="25" spans="1:17" ht="7.5" customHeight="1">
      <c r="A25" s="300"/>
      <c r="B25" s="98"/>
      <c r="C25" s="99"/>
      <c r="D25" s="99"/>
      <c r="E25" s="108"/>
      <c r="F25" s="108"/>
      <c r="G25" s="112"/>
      <c r="H25" s="112"/>
      <c r="I25" s="112"/>
      <c r="J25" s="112"/>
      <c r="K25" s="112"/>
      <c r="L25" s="99"/>
      <c r="M25" s="99"/>
      <c r="N25" s="99"/>
      <c r="O25" s="107"/>
      <c r="P25" s="300"/>
      <c r="Q25" s="300"/>
    </row>
    <row r="26" spans="1:17" ht="20.25" customHeight="1">
      <c r="A26" s="300"/>
      <c r="B26" s="98"/>
      <c r="C26" s="99"/>
      <c r="D26" s="99"/>
      <c r="E26" s="108"/>
      <c r="F26" s="365" t="str">
        <f>Text!F9&amp;" "</f>
        <v xml:space="preserve">Telephone: STD code: </v>
      </c>
      <c r="G26" s="638" t="str">
        <f>IF(UANumber=0,"",VLOOKUP(UANumber,Addresses,10,FALSE)&amp;" "&amp;VLOOKUP(UANumber,Addresses,11,FALSE))</f>
        <v/>
      </c>
      <c r="H26" s="639"/>
      <c r="I26" s="639"/>
      <c r="J26" s="639"/>
      <c r="K26" s="639"/>
      <c r="L26" s="639"/>
      <c r="M26" s="639"/>
      <c r="N26" s="640"/>
      <c r="O26" s="107"/>
      <c r="P26" s="300"/>
      <c r="Q26" s="300"/>
    </row>
    <row r="27" spans="1:17" ht="20.25" customHeight="1">
      <c r="A27" s="300"/>
      <c r="B27" s="98"/>
      <c r="C27" s="99"/>
      <c r="D27" s="99"/>
      <c r="E27" s="108"/>
      <c r="F27" s="111"/>
      <c r="G27" s="641"/>
      <c r="H27" s="642"/>
      <c r="I27" s="642"/>
      <c r="J27" s="642"/>
      <c r="K27" s="642"/>
      <c r="L27" s="642"/>
      <c r="M27" s="642"/>
      <c r="N27" s="643"/>
      <c r="O27" s="107"/>
      <c r="P27" s="300"/>
      <c r="Q27" s="300"/>
    </row>
    <row r="28" spans="1:17" ht="15" customHeight="1">
      <c r="A28" s="300"/>
      <c r="B28" s="98"/>
      <c r="C28" s="99"/>
      <c r="D28" s="99"/>
      <c r="E28" s="99"/>
      <c r="F28" s="99"/>
      <c r="G28" s="99"/>
      <c r="H28" s="99"/>
      <c r="I28" s="99"/>
      <c r="J28" s="99"/>
      <c r="K28" s="99"/>
      <c r="L28" s="99"/>
      <c r="M28" s="99"/>
      <c r="N28" s="99"/>
      <c r="O28" s="107"/>
      <c r="P28" s="300"/>
      <c r="Q28" s="300"/>
    </row>
    <row r="29" spans="1:17" ht="11.25" customHeight="1">
      <c r="A29" s="300"/>
      <c r="B29" s="504"/>
      <c r="C29" s="633"/>
      <c r="D29" s="634"/>
      <c r="E29" s="634"/>
      <c r="F29" s="634"/>
      <c r="G29" s="634"/>
      <c r="H29" s="634"/>
      <c r="I29" s="634"/>
      <c r="J29" s="634"/>
      <c r="K29" s="634"/>
      <c r="L29" s="634"/>
      <c r="M29" s="634"/>
      <c r="N29" s="634"/>
      <c r="O29" s="505"/>
      <c r="P29" s="300"/>
      <c r="Q29" s="300"/>
    </row>
    <row r="30" spans="1:17" ht="32.25" customHeight="1">
      <c r="A30" s="300"/>
      <c r="B30" s="504"/>
      <c r="C30" s="644" t="str">
        <f>Text!F11</f>
        <v>The information on this form must be submitted under section 64 of the Local Government Finance Act 1992, as amended.</v>
      </c>
      <c r="D30" s="644"/>
      <c r="E30" s="644"/>
      <c r="F30" s="644"/>
      <c r="G30" s="644"/>
      <c r="H30" s="644"/>
      <c r="I30" s="644"/>
      <c r="J30" s="644"/>
      <c r="K30" s="644"/>
      <c r="L30" s="644"/>
      <c r="M30" s="644"/>
      <c r="N30" s="644"/>
      <c r="O30" s="505"/>
      <c r="P30" s="300"/>
      <c r="Q30" s="300"/>
    </row>
    <row r="31" spans="1:17" ht="15" customHeight="1">
      <c r="A31" s="300"/>
      <c r="B31" s="504"/>
      <c r="C31" s="644" t="str">
        <f>Text!F12</f>
        <v>This form must be returned within 7 days of calculating your Budget Requirement.</v>
      </c>
      <c r="D31" s="645"/>
      <c r="E31" s="645"/>
      <c r="F31" s="645"/>
      <c r="G31" s="645"/>
      <c r="H31" s="645"/>
      <c r="I31" s="645"/>
      <c r="J31" s="645"/>
      <c r="K31" s="645"/>
      <c r="L31" s="645"/>
      <c r="M31" s="645"/>
      <c r="N31" s="645"/>
      <c r="O31" s="505"/>
      <c r="P31" s="300"/>
      <c r="Q31" s="300"/>
    </row>
    <row r="32" spans="1:17" ht="15" customHeight="1">
      <c r="A32" s="300"/>
      <c r="B32" s="504"/>
      <c r="C32" s="496"/>
      <c r="D32" s="496"/>
      <c r="E32" s="496"/>
      <c r="F32" s="496"/>
      <c r="G32" s="496"/>
      <c r="H32" s="496"/>
      <c r="I32" s="496"/>
      <c r="J32" s="496"/>
      <c r="K32" s="496"/>
      <c r="L32" s="496"/>
      <c r="M32" s="496"/>
      <c r="N32" s="496"/>
      <c r="O32" s="505"/>
      <c r="P32" s="300"/>
      <c r="Q32" s="300"/>
    </row>
    <row r="33" spans="1:17" ht="32.25" customHeight="1">
      <c r="A33" s="550"/>
      <c r="B33" s="504"/>
      <c r="C33" s="646" t="str">
        <f>Text!F93</f>
        <v>The latest date for return is 7 March 2024</v>
      </c>
      <c r="D33" s="647"/>
      <c r="E33" s="647"/>
      <c r="F33" s="647"/>
      <c r="G33" s="647"/>
      <c r="H33" s="647"/>
      <c r="I33" s="647"/>
      <c r="J33" s="647"/>
      <c r="K33" s="647"/>
      <c r="L33" s="647"/>
      <c r="M33" s="647"/>
      <c r="N33" s="648"/>
      <c r="O33" s="505"/>
      <c r="P33" s="550"/>
      <c r="Q33" s="300"/>
    </row>
    <row r="34" spans="1:17" ht="8.25" customHeight="1">
      <c r="A34" s="300"/>
      <c r="B34" s="504"/>
      <c r="C34" s="496"/>
      <c r="D34" s="496"/>
      <c r="E34" s="496"/>
      <c r="F34" s="496"/>
      <c r="G34" s="496"/>
      <c r="H34" s="496"/>
      <c r="I34" s="496"/>
      <c r="J34" s="496"/>
      <c r="K34" s="496"/>
      <c r="L34" s="496"/>
      <c r="M34" s="496"/>
      <c r="N34" s="496"/>
      <c r="O34" s="505"/>
      <c r="P34" s="300"/>
      <c r="Q34" s="300"/>
    </row>
    <row r="35" spans="1:17" ht="7.5" customHeight="1">
      <c r="A35" s="300"/>
      <c r="B35" s="504"/>
      <c r="C35" s="510"/>
      <c r="D35" s="511"/>
      <c r="E35" s="511"/>
      <c r="F35" s="511"/>
      <c r="G35" s="511"/>
      <c r="H35" s="511"/>
      <c r="I35" s="511"/>
      <c r="J35" s="511"/>
      <c r="K35" s="511"/>
      <c r="L35" s="511"/>
      <c r="M35" s="511"/>
      <c r="N35" s="512"/>
      <c r="O35" s="505"/>
      <c r="P35" s="300"/>
      <c r="Q35" s="300"/>
    </row>
    <row r="36" spans="1:17" ht="15" customHeight="1">
      <c r="A36" s="300"/>
      <c r="B36" s="504"/>
      <c r="C36" s="518"/>
      <c r="D36" s="521" t="str">
        <f>Text!F88</f>
        <v>Once certified, please send the following:</v>
      </c>
      <c r="E36" s="519"/>
      <c r="F36" s="519"/>
      <c r="G36" s="519"/>
      <c r="H36" s="519"/>
      <c r="I36" s="519"/>
      <c r="J36" s="519"/>
      <c r="K36" s="519"/>
      <c r="L36" s="519"/>
      <c r="M36" s="519"/>
      <c r="N36" s="520"/>
      <c r="O36" s="505"/>
      <c r="P36" s="300"/>
      <c r="Q36" s="300"/>
    </row>
    <row r="37" spans="1:17" ht="15" customHeight="1">
      <c r="A37" s="300"/>
      <c r="B37" s="504"/>
      <c r="C37" s="513"/>
      <c r="D37" s="509" t="s">
        <v>3337</v>
      </c>
      <c r="E37" s="653" t="str">
        <f>Text!F89</f>
        <v>An electronic copy of the spreadsheet, preferably with an image of the CFO signature and date added.</v>
      </c>
      <c r="F37" s="653"/>
      <c r="G37" s="653"/>
      <c r="H37" s="653"/>
      <c r="I37" s="653"/>
      <c r="J37" s="653"/>
      <c r="K37" s="653"/>
      <c r="L37" s="653"/>
      <c r="M37" s="653"/>
      <c r="N37" s="654"/>
      <c r="O37" s="505"/>
      <c r="P37" s="300"/>
      <c r="Q37" s="300"/>
    </row>
    <row r="38" spans="1:17" ht="17.25" customHeight="1">
      <c r="A38" s="300"/>
      <c r="B38" s="504"/>
      <c r="C38" s="513"/>
      <c r="D38" s="509" t="s">
        <v>3337</v>
      </c>
      <c r="E38" s="653" t="str">
        <f>Text!F90</f>
        <v>Or an electronic copy and a separate, signed copy (preferably as a PDF, or a hard copy by post).</v>
      </c>
      <c r="F38" s="653"/>
      <c r="G38" s="653"/>
      <c r="H38" s="653"/>
      <c r="I38" s="653"/>
      <c r="J38" s="653"/>
      <c r="K38" s="653"/>
      <c r="L38" s="653"/>
      <c r="M38" s="653"/>
      <c r="N38" s="654"/>
      <c r="O38" s="505"/>
      <c r="P38" s="300"/>
      <c r="Q38" s="300"/>
    </row>
    <row r="39" spans="1:17" ht="5.25" customHeight="1">
      <c r="A39" s="300"/>
      <c r="B39" s="504"/>
      <c r="C39" s="514"/>
      <c r="D39" s="515"/>
      <c r="E39" s="516"/>
      <c r="F39" s="516"/>
      <c r="G39" s="516"/>
      <c r="H39" s="516"/>
      <c r="I39" s="516"/>
      <c r="J39" s="516"/>
      <c r="K39" s="516"/>
      <c r="L39" s="516"/>
      <c r="M39" s="516"/>
      <c r="N39" s="517"/>
      <c r="O39" s="505"/>
      <c r="P39" s="300"/>
      <c r="Q39" s="300"/>
    </row>
    <row r="40" spans="1:17" ht="8.25" customHeight="1">
      <c r="A40" s="300"/>
      <c r="B40" s="504"/>
      <c r="C40" s="496"/>
      <c r="D40" s="265"/>
      <c r="E40" s="496"/>
      <c r="F40" s="496"/>
      <c r="G40" s="496"/>
      <c r="H40" s="496"/>
      <c r="I40" s="496"/>
      <c r="J40" s="496"/>
      <c r="K40" s="496"/>
      <c r="L40" s="496"/>
      <c r="M40" s="496"/>
      <c r="N40" s="496"/>
      <c r="O40" s="505"/>
      <c r="P40" s="300"/>
      <c r="Q40" s="300"/>
    </row>
    <row r="41" spans="1:17" ht="33.75" customHeight="1">
      <c r="A41" s="300"/>
      <c r="B41" s="504"/>
      <c r="C41" s="655" t="str">
        <f>Text!F91</f>
        <v>N.B. The signed copy figures must match the electronic copy. We’ll need another signed copy if they don’t.</v>
      </c>
      <c r="D41" s="656"/>
      <c r="E41" s="656"/>
      <c r="F41" s="656"/>
      <c r="G41" s="656"/>
      <c r="H41" s="656"/>
      <c r="I41" s="656"/>
      <c r="J41" s="656"/>
      <c r="K41" s="656"/>
      <c r="L41" s="656"/>
      <c r="M41" s="656"/>
      <c r="N41" s="657"/>
      <c r="O41" s="505"/>
      <c r="P41" s="300"/>
      <c r="Q41" s="300"/>
    </row>
    <row r="42" spans="1:17" ht="8.25" customHeight="1">
      <c r="A42" s="300"/>
      <c r="B42" s="504"/>
      <c r="C42" s="113"/>
      <c r="D42" s="495"/>
      <c r="E42" s="495"/>
      <c r="F42" s="495"/>
      <c r="G42" s="495"/>
      <c r="H42" s="495"/>
      <c r="I42" s="495"/>
      <c r="J42" s="495"/>
      <c r="K42" s="495"/>
      <c r="L42" s="495"/>
      <c r="M42" s="495"/>
      <c r="N42" s="495"/>
      <c r="O42" s="505"/>
      <c r="P42" s="300"/>
      <c r="Q42" s="300"/>
    </row>
    <row r="43" spans="1:17" ht="15" customHeight="1">
      <c r="A43" s="300"/>
      <c r="B43" s="98"/>
      <c r="C43" s="99"/>
      <c r="D43" s="99"/>
      <c r="E43" s="115"/>
      <c r="F43" s="115"/>
      <c r="G43" s="244"/>
      <c r="H43" s="244"/>
      <c r="I43" s="99"/>
      <c r="J43" s="245"/>
      <c r="K43" s="99"/>
      <c r="L43" s="99"/>
      <c r="M43" s="99"/>
      <c r="N43" s="116"/>
      <c r="O43" s="107"/>
      <c r="P43" s="300"/>
      <c r="Q43" s="300"/>
    </row>
    <row r="44" spans="1:17" ht="30" customHeight="1">
      <c r="A44" s="348"/>
      <c r="B44" s="117"/>
      <c r="C44" s="100"/>
      <c r="D44" s="649" t="str">
        <f>Text!F16</f>
        <v>Any queries on completion of the form or spreadsheet should be directed in the first instance, via telephone or e-mail, as directed below:</v>
      </c>
      <c r="E44" s="650"/>
      <c r="F44" s="650"/>
      <c r="G44" s="650"/>
      <c r="H44" s="650"/>
      <c r="I44" s="650"/>
      <c r="J44" s="650"/>
      <c r="K44" s="650"/>
      <c r="L44" s="650"/>
      <c r="M44" s="650"/>
      <c r="N44" s="246"/>
      <c r="O44" s="118"/>
      <c r="P44" s="300"/>
      <c r="Q44" s="300"/>
    </row>
    <row r="45" spans="1:17" ht="30" customHeight="1">
      <c r="A45" s="300"/>
      <c r="B45" s="98"/>
      <c r="C45" s="99"/>
      <c r="D45" s="651" t="str">
        <f>Text!F17</f>
        <v>It is a Welsh Government audit requirement that all cells are completed.  Please ensure that all blank cells are populated with zeros, those that are not will be assumed to be zero.</v>
      </c>
      <c r="E45" s="652"/>
      <c r="F45" s="652"/>
      <c r="G45" s="652"/>
      <c r="H45" s="652"/>
      <c r="I45" s="652"/>
      <c r="J45" s="652"/>
      <c r="K45" s="652"/>
      <c r="L45" s="652"/>
      <c r="M45" s="652"/>
      <c r="N45" s="116"/>
      <c r="O45" s="107"/>
      <c r="P45" s="300"/>
      <c r="Q45" s="300"/>
    </row>
    <row r="46" spans="1:17" ht="15" customHeight="1">
      <c r="A46" s="300"/>
      <c r="B46" s="98"/>
      <c r="C46" s="99"/>
      <c r="D46" s="247"/>
      <c r="E46" s="119"/>
      <c r="F46" s="119"/>
      <c r="G46" s="119"/>
      <c r="H46" s="119"/>
      <c r="I46" s="119"/>
      <c r="J46" s="248"/>
      <c r="K46" s="248"/>
      <c r="L46" s="109"/>
      <c r="M46" s="109"/>
      <c r="N46" s="114"/>
      <c r="O46" s="107"/>
      <c r="P46" s="300"/>
      <c r="Q46" s="300"/>
    </row>
    <row r="47" spans="1:17" ht="15" customHeight="1">
      <c r="A47" s="300"/>
      <c r="B47" s="98"/>
      <c r="C47" s="99"/>
      <c r="D47" s="109" t="str">
        <f>Text!F18</f>
        <v>Local Government Financial Statistics Unit,</v>
      </c>
      <c r="E47" s="119"/>
      <c r="F47" s="119"/>
      <c r="G47" s="119"/>
      <c r="H47" s="119"/>
      <c r="I47" s="119"/>
      <c r="J47" s="109"/>
      <c r="K47" s="109"/>
      <c r="L47" s="109"/>
      <c r="M47" s="109"/>
      <c r="N47" s="114"/>
      <c r="O47" s="107"/>
      <c r="P47" s="300"/>
      <c r="Q47" s="300"/>
    </row>
    <row r="48" spans="1:17" ht="15" customHeight="1">
      <c r="A48" s="300"/>
      <c r="B48" s="98"/>
      <c r="C48" s="99"/>
      <c r="D48" s="109" t="str">
        <f>Text!F19</f>
        <v>Welsh Government,</v>
      </c>
      <c r="E48" s="119"/>
      <c r="F48" s="119"/>
      <c r="G48" s="119"/>
      <c r="H48" s="119"/>
      <c r="I48" s="119"/>
      <c r="J48" s="109"/>
      <c r="K48" s="109"/>
      <c r="L48" s="109"/>
      <c r="M48" s="109"/>
      <c r="N48" s="114"/>
      <c r="O48" s="107"/>
      <c r="P48" s="300"/>
      <c r="Q48" s="300"/>
    </row>
    <row r="49" spans="1:28" ht="15" customHeight="1">
      <c r="A49" s="300"/>
      <c r="B49" s="98"/>
      <c r="C49" s="99"/>
      <c r="D49" s="109" t="str">
        <f>Text!F20</f>
        <v>CP2</v>
      </c>
      <c r="E49" s="119"/>
      <c r="F49" s="119"/>
      <c r="G49" s="119"/>
      <c r="H49" s="119"/>
      <c r="I49" s="119"/>
      <c r="J49" s="109"/>
      <c r="K49" s="109"/>
      <c r="L49" s="109"/>
      <c r="M49" s="109"/>
      <c r="N49" s="114"/>
      <c r="O49" s="107"/>
      <c r="P49" s="300"/>
      <c r="Q49" s="300"/>
    </row>
    <row r="50" spans="1:28" ht="15" customHeight="1">
      <c r="A50" s="300"/>
      <c r="B50" s="98"/>
      <c r="C50" s="99"/>
      <c r="D50" s="109" t="str">
        <f>Text!F21</f>
        <v>Cathays Park,</v>
      </c>
      <c r="E50" s="119"/>
      <c r="F50" s="119"/>
      <c r="G50" s="119"/>
      <c r="H50" s="119"/>
      <c r="I50" s="119"/>
      <c r="J50" s="119"/>
      <c r="K50" s="109"/>
      <c r="L50" s="109"/>
      <c r="M50" s="109"/>
      <c r="N50" s="114"/>
      <c r="O50" s="107"/>
      <c r="P50" s="300"/>
      <c r="Q50" s="300"/>
    </row>
    <row r="51" spans="1:28" ht="15" customHeight="1">
      <c r="A51" s="300"/>
      <c r="B51" s="98"/>
      <c r="C51" s="99"/>
      <c r="D51" s="109" t="str">
        <f>Text!F22</f>
        <v>CARDIFF,</v>
      </c>
      <c r="E51" s="119"/>
      <c r="F51" s="119"/>
      <c r="G51" s="119"/>
      <c r="H51" s="119"/>
      <c r="I51" s="119"/>
      <c r="J51" s="109"/>
      <c r="K51" s="109"/>
      <c r="L51" s="109"/>
      <c r="M51" s="109"/>
      <c r="N51" s="114"/>
      <c r="O51" s="107"/>
      <c r="P51" s="300"/>
      <c r="Q51" s="300"/>
    </row>
    <row r="52" spans="1:28" ht="15" customHeight="1">
      <c r="A52" s="300"/>
      <c r="B52" s="98"/>
      <c r="C52" s="99"/>
      <c r="D52" s="109" t="str">
        <f>Text!F23</f>
        <v>CF10 3NQ.</v>
      </c>
      <c r="E52" s="119"/>
      <c r="F52" s="119"/>
      <c r="G52" s="119"/>
      <c r="H52" s="119"/>
      <c r="I52" s="119"/>
      <c r="J52" s="109"/>
      <c r="K52" s="109"/>
      <c r="L52" s="109"/>
      <c r="M52" s="109"/>
      <c r="N52" s="114"/>
      <c r="O52" s="107"/>
      <c r="P52" s="300"/>
      <c r="Q52" s="300"/>
    </row>
    <row r="53" spans="1:28" ht="15" customHeight="1">
      <c r="A53" s="300"/>
      <c r="B53" s="98"/>
      <c r="C53" s="99"/>
      <c r="D53" s="109" t="str">
        <f>Text!F24</f>
        <v>E-mail:</v>
      </c>
      <c r="E53" s="119"/>
      <c r="F53" s="247" t="str">
        <f>Details!I5</f>
        <v>LGFS.Transfer@gov.wales</v>
      </c>
      <c r="G53" s="258"/>
      <c r="H53" s="119"/>
      <c r="I53" s="119"/>
      <c r="J53" s="109"/>
      <c r="K53" s="109"/>
      <c r="L53" s="109"/>
      <c r="M53" s="109"/>
      <c r="N53" s="114"/>
      <c r="O53" s="107"/>
      <c r="P53" s="300"/>
      <c r="Q53" s="300"/>
    </row>
    <row r="54" spans="1:28" ht="15" customHeight="1">
      <c r="A54" s="300"/>
      <c r="B54" s="98"/>
      <c r="C54" s="99"/>
      <c r="D54" s="109" t="str">
        <f>Text!F25</f>
        <v>Telephone:</v>
      </c>
      <c r="E54" s="120"/>
      <c r="F54" s="295" t="s">
        <v>3339</v>
      </c>
      <c r="G54" s="259"/>
      <c r="H54" s="120"/>
      <c r="I54" s="120"/>
      <c r="J54" s="120"/>
      <c r="K54" s="120"/>
      <c r="L54" s="120"/>
      <c r="M54" s="120"/>
      <c r="N54" s="121"/>
      <c r="O54" s="107"/>
      <c r="P54" s="300"/>
      <c r="Q54" s="300"/>
    </row>
    <row r="55" spans="1:28" ht="15" customHeight="1">
      <c r="A55" s="300"/>
      <c r="B55" s="122"/>
      <c r="C55" s="123"/>
      <c r="D55" s="123"/>
      <c r="E55" s="123"/>
      <c r="F55" s="123"/>
      <c r="G55" s="123"/>
      <c r="H55" s="123"/>
      <c r="I55" s="123"/>
      <c r="J55" s="123"/>
      <c r="K55" s="123"/>
      <c r="L55" s="123"/>
      <c r="M55" s="123"/>
      <c r="N55" s="123"/>
      <c r="O55" s="124"/>
      <c r="P55" s="300"/>
      <c r="Q55" s="300"/>
    </row>
    <row r="56" spans="1:28">
      <c r="A56" s="300"/>
      <c r="B56" s="300"/>
      <c r="C56" s="300"/>
      <c r="D56" s="349"/>
      <c r="E56" s="350"/>
      <c r="F56" s="349"/>
      <c r="G56" s="349"/>
      <c r="H56" s="349"/>
      <c r="I56" s="300"/>
      <c r="J56" s="300"/>
      <c r="K56" s="300"/>
      <c r="L56" s="300"/>
      <c r="M56" s="300"/>
      <c r="N56" s="300"/>
      <c r="O56" s="300"/>
      <c r="P56" s="300"/>
      <c r="Q56" s="300"/>
      <c r="AB56" s="261"/>
    </row>
  </sheetData>
  <sheetProtection sheet="1" objects="1" scenarios="1"/>
  <mergeCells count="14">
    <mergeCell ref="C30:N30"/>
    <mergeCell ref="C31:N31"/>
    <mergeCell ref="C33:N33"/>
    <mergeCell ref="D44:M44"/>
    <mergeCell ref="D45:M45"/>
    <mergeCell ref="E37:N37"/>
    <mergeCell ref="E38:N38"/>
    <mergeCell ref="C41:N41"/>
    <mergeCell ref="C29:N29"/>
    <mergeCell ref="N2:O2"/>
    <mergeCell ref="D2:G2"/>
    <mergeCell ref="G20:N21"/>
    <mergeCell ref="G23:N24"/>
    <mergeCell ref="G26:N27"/>
  </mergeCells>
  <pageMargins left="0.37" right="0.25" top="0.75" bottom="0.75" header="0.3" footer="0.3"/>
  <pageSetup paperSize="9" scale="85" fitToHeight="0" orientation="portrait" horizontalDpi="300" verticalDpi="300" r:id="rId1"/>
  <drawing r:id="rId2"/>
  <legacyDrawing r:id="rId3"/>
  <mc:AlternateContent xmlns:mc="http://schemas.openxmlformats.org/markup-compatibility/2006">
    <mc:Choice Requires="x14">
      <controls>
        <mc:AlternateContent xmlns:mc="http://schemas.openxmlformats.org/markup-compatibility/2006">
          <mc:Choice Requires="x14">
            <control shapeId="23553" r:id="rId4" name="Drop Down 1">
              <controlPr defaultSize="0" autoLine="0" autoPict="0">
                <anchor moveWithCells="1">
                  <from>
                    <xdr:col>4</xdr:col>
                    <xdr:colOff>0</xdr:colOff>
                    <xdr:row>9</xdr:row>
                    <xdr:rowOff>114300</xdr:rowOff>
                  </from>
                  <to>
                    <xdr:col>7</xdr:col>
                    <xdr:colOff>542925</xdr:colOff>
                    <xdr:row>10</xdr:row>
                    <xdr:rowOff>219075</xdr:rowOff>
                  </to>
                </anchor>
              </controlPr>
            </control>
          </mc:Choice>
        </mc:AlternateContent>
        <mc:AlternateContent xmlns:mc="http://schemas.openxmlformats.org/markup-compatibility/2006">
          <mc:Choice Requires="x14">
            <control shapeId="23554" r:id="rId5" name="Drop Down 2">
              <controlPr defaultSize="0" autoLine="0" autoPict="0">
                <anchor moveWithCells="1">
                  <from>
                    <xdr:col>4</xdr:col>
                    <xdr:colOff>0</xdr:colOff>
                    <xdr:row>5</xdr:row>
                    <xdr:rowOff>47625</xdr:rowOff>
                  </from>
                  <to>
                    <xdr:col>5</xdr:col>
                    <xdr:colOff>1238250</xdr:colOff>
                    <xdr:row>6</xdr:row>
                    <xdr:rowOff>152400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AB48"/>
  <sheetViews>
    <sheetView zoomScaleNormal="100" workbookViewId="0">
      <selection activeCell="G17" sqref="G17"/>
    </sheetView>
  </sheetViews>
  <sheetFormatPr defaultColWidth="8.88671875" defaultRowHeight="15" customHeight="1"/>
  <cols>
    <col min="1" max="1" width="1.33203125" style="261" customWidth="1"/>
    <col min="2" max="2" width="0.77734375" style="262" customWidth="1"/>
    <col min="3" max="3" width="8.88671875" style="262" customWidth="1"/>
    <col min="4" max="4" width="18.109375" style="260" customWidth="1"/>
    <col min="5" max="5" width="24.5546875" style="262" customWidth="1"/>
    <col min="6" max="6" width="12.109375" style="262" customWidth="1"/>
    <col min="7" max="7" width="12.88671875" style="262" customWidth="1"/>
    <col min="8" max="8" width="0.21875" style="262" customWidth="1"/>
    <col min="9" max="9" width="1.77734375" style="262" customWidth="1"/>
    <col min="10" max="10" width="13.44140625" style="261" customWidth="1"/>
    <col min="11" max="11" width="13.109375" style="261" customWidth="1"/>
    <col min="12" max="12" width="1.77734375" style="261" customWidth="1"/>
    <col min="13" max="16" width="9.77734375" style="261" customWidth="1"/>
    <col min="17" max="17" width="6" style="261" bestFit="1" customWidth="1"/>
    <col min="18" max="18" width="1.77734375" style="261" hidden="1" customWidth="1"/>
    <col min="19" max="19" width="2.109375" style="261" hidden="1" customWidth="1"/>
    <col min="20" max="20" width="3.5546875" style="261" customWidth="1"/>
    <col min="21" max="21" width="2.44140625" style="261" customWidth="1"/>
    <col min="22" max="22" width="3.109375" style="261" hidden="1" customWidth="1"/>
    <col min="23" max="23" width="2.5546875" style="261" hidden="1" customWidth="1"/>
    <col min="24" max="24" width="3.21875" style="261" hidden="1" customWidth="1"/>
    <col min="25" max="25" width="63.88671875" style="261" customWidth="1"/>
    <col min="26" max="26" width="11" style="261" hidden="1" customWidth="1"/>
    <col min="27" max="27" width="6.33203125" style="261" hidden="1" customWidth="1"/>
    <col min="28" max="28" width="5.77734375" style="428" hidden="1" customWidth="1"/>
    <col min="29" max="16384" width="8.88671875" style="261"/>
  </cols>
  <sheetData>
    <row r="1" spans="1:28" ht="15" customHeight="1">
      <c r="A1" s="10"/>
      <c r="B1" s="10"/>
      <c r="C1" s="10"/>
      <c r="D1" s="10"/>
      <c r="E1" s="10"/>
      <c r="F1" s="10"/>
      <c r="G1" s="10"/>
      <c r="H1" s="10"/>
      <c r="I1" s="261"/>
      <c r="J1" s="10"/>
      <c r="K1" s="10"/>
      <c r="M1" s="10"/>
      <c r="N1" s="10"/>
      <c r="O1" s="10"/>
      <c r="P1" s="307" t="str">
        <f>ValData!AN46</f>
        <v>Please follow the instructions below when completing this page:</v>
      </c>
      <c r="Q1" s="10"/>
      <c r="R1" s="10"/>
      <c r="S1" s="10"/>
      <c r="T1" s="10"/>
      <c r="U1" s="10"/>
      <c r="V1" s="10"/>
      <c r="W1" s="10"/>
      <c r="X1" s="10"/>
      <c r="Z1" s="10"/>
      <c r="AA1" s="10"/>
      <c r="AB1" s="409"/>
    </row>
    <row r="2" spans="1:28" ht="15" customHeight="1">
      <c r="A2" s="10"/>
      <c r="B2" s="253"/>
      <c r="C2" s="361" t="str">
        <f>FrontPage!D2</f>
        <v>Budget Requirement Return, 2024-25</v>
      </c>
      <c r="D2" s="251"/>
      <c r="E2" s="251"/>
      <c r="F2" s="251"/>
      <c r="G2" s="303" t="str">
        <f>FrontPage!M2</f>
        <v>BR2</v>
      </c>
      <c r="H2" s="252"/>
      <c r="I2" s="261"/>
      <c r="J2" s="10"/>
      <c r="K2" s="10"/>
      <c r="M2" s="10"/>
      <c r="N2" s="284"/>
      <c r="O2" s="10"/>
      <c r="P2" s="10"/>
      <c r="Q2" s="10"/>
      <c r="R2" s="10"/>
      <c r="S2" s="10"/>
      <c r="T2" s="10"/>
      <c r="U2" s="10"/>
      <c r="V2" s="10"/>
      <c r="W2" s="10"/>
      <c r="X2" s="10"/>
      <c r="Y2" s="10"/>
      <c r="Z2" s="10"/>
      <c r="AA2" s="10"/>
      <c r="AB2" s="409"/>
    </row>
    <row r="3" spans="1:28" ht="15" customHeight="1">
      <c r="A3" s="10"/>
      <c r="B3" s="22"/>
      <c r="C3" s="23"/>
      <c r="D3" s="24"/>
      <c r="E3" s="25"/>
      <c r="F3" s="25"/>
      <c r="G3" s="25"/>
      <c r="H3" s="26"/>
      <c r="I3" s="261"/>
      <c r="J3" s="410"/>
      <c r="K3" s="410"/>
      <c r="M3" s="10"/>
      <c r="N3" s="284"/>
      <c r="O3" s="10"/>
      <c r="P3" s="10"/>
      <c r="Q3" s="10"/>
      <c r="R3" s="10"/>
      <c r="S3" s="10"/>
      <c r="T3" s="10"/>
      <c r="U3" s="10"/>
      <c r="V3" s="10"/>
      <c r="W3" s="10"/>
      <c r="X3" s="10"/>
      <c r="Y3" s="10"/>
      <c r="Z3" s="10"/>
      <c r="AA3" s="10"/>
      <c r="AB3" s="409"/>
    </row>
    <row r="4" spans="1:28" ht="15" customHeight="1">
      <c r="A4" s="10"/>
      <c r="B4" s="22"/>
      <c r="C4" s="527" t="str">
        <f>Text!F26&amp;": "</f>
        <v xml:space="preserve">Code: </v>
      </c>
      <c r="D4" s="304" t="str">
        <f>IF(UANumber=0,"",UANumber)</f>
        <v/>
      </c>
      <c r="E4" s="25"/>
      <c r="F4" s="25"/>
      <c r="G4" s="25"/>
      <c r="H4" s="26"/>
      <c r="I4" s="323"/>
      <c r="J4" s="695" t="str">
        <f>Text!F55</f>
        <v>Key for cells in columns F, G:</v>
      </c>
      <c r="K4" s="314" t="str">
        <f>Text!F56</f>
        <v>Input</v>
      </c>
      <c r="M4" s="10"/>
      <c r="N4" s="284"/>
      <c r="O4" s="10"/>
      <c r="P4" s="10"/>
      <c r="Q4" s="10"/>
      <c r="R4" s="10"/>
      <c r="S4" s="10"/>
      <c r="T4" s="10"/>
      <c r="U4" s="10"/>
      <c r="V4" s="10"/>
      <c r="W4" s="10"/>
      <c r="X4" s="10"/>
      <c r="Y4" s="10"/>
      <c r="Z4" s="10"/>
      <c r="AA4" s="10"/>
      <c r="AB4" s="409"/>
    </row>
    <row r="5" spans="1:28" ht="15" customHeight="1">
      <c r="A5" s="10"/>
      <c r="B5" s="22"/>
      <c r="C5" s="527" t="str">
        <f>Text!F27&amp;": "</f>
        <v xml:space="preserve">Authority: </v>
      </c>
      <c r="D5" s="526" t="str">
        <f>Details!B4</f>
        <v>Please select your region on the FrontPage</v>
      </c>
      <c r="E5" s="25"/>
      <c r="F5" s="25"/>
      <c r="G5" s="25"/>
      <c r="H5" s="26"/>
      <c r="I5" s="323"/>
      <c r="J5" s="696"/>
      <c r="K5" s="315" t="str">
        <f>Text!F92</f>
        <v>adjustable</v>
      </c>
      <c r="M5" s="10"/>
      <c r="N5" s="284"/>
      <c r="O5" s="10"/>
      <c r="P5" s="10"/>
      <c r="Q5" s="10"/>
      <c r="R5" s="10"/>
      <c r="S5" s="10"/>
      <c r="T5" s="10"/>
      <c r="U5" s="10"/>
      <c r="V5" s="10"/>
      <c r="W5" s="10"/>
      <c r="X5" s="10"/>
      <c r="Y5" s="10"/>
      <c r="Z5" s="10"/>
      <c r="AA5" s="10"/>
      <c r="AB5" s="409"/>
    </row>
    <row r="6" spans="1:28" ht="15" customHeight="1">
      <c r="A6" s="10"/>
      <c r="B6" s="22"/>
      <c r="C6" s="24"/>
      <c r="D6" s="24"/>
      <c r="E6" s="25"/>
      <c r="F6" s="25"/>
      <c r="G6" s="25"/>
      <c r="H6" s="26"/>
      <c r="I6" s="323"/>
      <c r="J6" s="697"/>
      <c r="K6" s="316" t="str">
        <f>Text!F57</f>
        <v>Locked</v>
      </c>
      <c r="M6" s="10"/>
      <c r="N6" s="284"/>
      <c r="O6" s="10"/>
      <c r="P6" s="10"/>
      <c r="Q6" s="10"/>
      <c r="R6" s="10"/>
      <c r="S6" s="10"/>
      <c r="T6" s="10"/>
      <c r="U6" s="10"/>
      <c r="V6" s="10"/>
      <c r="W6" s="10"/>
      <c r="X6" s="10"/>
      <c r="Y6" s="10"/>
      <c r="Z6" s="10"/>
      <c r="AA6" s="10"/>
      <c r="AB6" s="409"/>
    </row>
    <row r="7" spans="1:28" ht="15" customHeight="1">
      <c r="A7" s="10"/>
      <c r="B7" s="22"/>
      <c r="C7" s="692" t="s">
        <v>3328</v>
      </c>
      <c r="D7" s="693"/>
      <c r="E7" s="693"/>
      <c r="F7" s="694"/>
      <c r="G7" s="25"/>
      <c r="H7" s="26"/>
      <c r="I7" s="323"/>
      <c r="J7" s="411"/>
      <c r="K7" s="412"/>
      <c r="L7" s="331"/>
      <c r="M7" s="10"/>
      <c r="N7" s="10"/>
      <c r="O7" s="10"/>
      <c r="P7" s="10"/>
      <c r="Q7" s="10"/>
      <c r="R7" s="10"/>
      <c r="S7" s="10"/>
      <c r="T7" s="10"/>
      <c r="U7" s="10"/>
      <c r="V7" s="10"/>
      <c r="W7" s="10"/>
      <c r="X7" s="10"/>
      <c r="Y7" s="10"/>
      <c r="Z7" s="10"/>
      <c r="AA7" s="10"/>
      <c r="AB7" s="409"/>
    </row>
    <row r="8" spans="1:28" ht="23.25" customHeight="1">
      <c r="A8" s="10"/>
      <c r="B8" s="22"/>
      <c r="C8" s="522"/>
      <c r="D8" s="528" t="s">
        <v>3439</v>
      </c>
      <c r="E8" s="528" t="s">
        <v>3228</v>
      </c>
      <c r="F8" s="523"/>
      <c r="G8" s="25"/>
      <c r="H8" s="26"/>
      <c r="I8" s="323"/>
      <c r="J8" s="411"/>
      <c r="K8" s="317"/>
      <c r="L8" s="331"/>
      <c r="M8" s="10"/>
      <c r="N8" s="10"/>
      <c r="O8" s="10"/>
      <c r="P8" s="10"/>
      <c r="Q8" s="10"/>
      <c r="R8" s="10"/>
      <c r="S8" s="10"/>
      <c r="T8" s="10"/>
      <c r="U8" s="10"/>
      <c r="V8" s="10"/>
      <c r="W8" s="10"/>
      <c r="X8" s="10"/>
      <c r="Y8" s="10"/>
      <c r="Z8" s="10"/>
      <c r="AA8" s="10"/>
      <c r="AB8" s="409"/>
    </row>
    <row r="9" spans="1:28" ht="15" customHeight="1">
      <c r="A9" s="10"/>
      <c r="B9" s="22"/>
      <c r="C9" s="524"/>
      <c r="D9" s="524"/>
      <c r="E9" s="321"/>
      <c r="F9" s="321"/>
      <c r="G9" s="25"/>
      <c r="H9" s="26"/>
      <c r="I9" s="323"/>
      <c r="J9" s="411"/>
      <c r="K9" s="317"/>
      <c r="L9" s="331"/>
      <c r="M9" s="10"/>
      <c r="N9" s="10"/>
      <c r="O9" s="10"/>
      <c r="P9" s="10"/>
      <c r="Q9" s="10"/>
      <c r="R9" s="10"/>
      <c r="S9" s="10"/>
      <c r="T9" s="10"/>
      <c r="U9" s="10"/>
      <c r="V9" s="10"/>
      <c r="W9" s="10"/>
      <c r="X9" s="10"/>
      <c r="Y9" s="10"/>
      <c r="Z9" s="10"/>
      <c r="AA9" s="10"/>
      <c r="AB9" s="409"/>
    </row>
    <row r="10" spans="1:28" ht="15" customHeight="1">
      <c r="A10" s="10"/>
      <c r="B10" s="22"/>
      <c r="C10" s="524"/>
      <c r="D10" s="524"/>
      <c r="E10" s="321"/>
      <c r="F10" s="321"/>
      <c r="G10" s="25"/>
      <c r="H10" s="26"/>
      <c r="I10" s="323"/>
      <c r="J10" s="411"/>
      <c r="K10" s="317"/>
      <c r="L10" s="331"/>
      <c r="M10" s="10"/>
      <c r="N10" s="10"/>
      <c r="O10" s="10"/>
      <c r="P10" s="10"/>
      <c r="Q10" s="10"/>
      <c r="R10" s="10"/>
      <c r="S10" s="10"/>
      <c r="T10" s="10"/>
      <c r="U10" s="10"/>
      <c r="V10" s="10"/>
      <c r="W10" s="10"/>
      <c r="X10" s="10"/>
      <c r="Y10" s="10"/>
      <c r="Z10" s="10"/>
      <c r="AA10" s="10"/>
      <c r="AB10" s="409"/>
    </row>
    <row r="11" spans="1:28" ht="15" customHeight="1">
      <c r="A11" s="10"/>
      <c r="B11" s="22"/>
      <c r="C11" s="692" t="str">
        <f>"Setliad Terfynol yr Heddlu  /  Final Police Settlement  -  "&amp;Details!J3</f>
        <v>Setliad Terfynol yr Heddlu  /  Final Police Settlement  -  2024-25</v>
      </c>
      <c r="D11" s="693"/>
      <c r="E11" s="693"/>
      <c r="F11" s="694"/>
      <c r="G11" s="302"/>
      <c r="H11" s="26"/>
      <c r="I11" s="323"/>
      <c r="J11" s="411"/>
      <c r="K11" s="317"/>
      <c r="L11" s="331"/>
      <c r="M11" s="10"/>
      <c r="N11" s="10"/>
      <c r="O11" s="10"/>
      <c r="P11" s="10"/>
      <c r="Q11" s="10"/>
      <c r="R11" s="10"/>
      <c r="S11" s="10"/>
      <c r="T11" s="10"/>
      <c r="U11" s="10"/>
      <c r="V11" s="10"/>
      <c r="W11" s="10"/>
      <c r="X11" s="10"/>
      <c r="Y11" s="10"/>
      <c r="Z11" s="10"/>
      <c r="AA11" s="10"/>
      <c r="AB11" s="409"/>
    </row>
    <row r="12" spans="1:28" ht="23.25" customHeight="1">
      <c r="A12" s="1"/>
      <c r="B12" s="22"/>
      <c r="C12" s="525"/>
      <c r="D12" s="528" t="s">
        <v>3439</v>
      </c>
      <c r="E12" s="528" t="s">
        <v>3228</v>
      </c>
      <c r="F12" s="523"/>
      <c r="G12" s="27"/>
      <c r="H12" s="26"/>
      <c r="I12" s="323"/>
      <c r="J12" s="676" t="str">
        <f>ValData!AN47</f>
        <v>Any totals not = zero in column "V" will be flagged in 'auto' column and highlighted in red</v>
      </c>
      <c r="K12" s="677"/>
      <c r="L12" s="331"/>
      <c r="N12" s="1"/>
      <c r="O12" s="10"/>
      <c r="P12" s="10"/>
      <c r="Q12" s="10"/>
      <c r="R12" s="10"/>
      <c r="S12" s="10"/>
      <c r="T12" s="10"/>
      <c r="U12" s="10"/>
      <c r="V12" s="10"/>
      <c r="W12" s="10"/>
      <c r="X12" s="10"/>
      <c r="Y12" s="10"/>
      <c r="Z12" s="10"/>
      <c r="AA12" s="10"/>
      <c r="AB12" s="409"/>
    </row>
    <row r="13" spans="1:28" ht="15" customHeight="1">
      <c r="A13" s="1"/>
      <c r="B13" s="22"/>
      <c r="C13" s="257"/>
      <c r="D13" s="257"/>
      <c r="E13" s="25"/>
      <c r="F13" s="25"/>
      <c r="G13" s="27"/>
      <c r="H13" s="26"/>
      <c r="I13" s="323"/>
      <c r="J13" s="678"/>
      <c r="K13" s="679"/>
      <c r="M13" s="62" t="str">
        <f>"% "&amp;ValData!AN43</f>
        <v>% tolerance:</v>
      </c>
      <c r="N13" s="388">
        <v>5</v>
      </c>
      <c r="O13" s="1"/>
      <c r="P13" s="10"/>
      <c r="Q13" s="10"/>
      <c r="R13" s="661" t="str">
        <f>ValData!AN44</f>
        <v>zero?</v>
      </c>
      <c r="S13" s="662"/>
      <c r="T13" s="10"/>
      <c r="U13" s="376" t="str">
        <f>ValData!AN45</f>
        <v>Totals</v>
      </c>
      <c r="V13" s="374"/>
      <c r="W13" s="377"/>
      <c r="X13" s="10"/>
      <c r="Y13" s="10"/>
      <c r="Z13" s="10"/>
      <c r="AA13" s="10"/>
      <c r="AB13" s="409"/>
    </row>
    <row r="14" spans="1:28" ht="14.25" customHeight="1">
      <c r="A14" s="1"/>
      <c r="B14" s="22"/>
      <c r="C14" s="257"/>
      <c r="D14" s="257"/>
      <c r="E14" s="254"/>
      <c r="F14" s="25"/>
      <c r="G14" s="25"/>
      <c r="H14" s="28"/>
      <c r="J14" s="680"/>
      <c r="K14" s="681"/>
      <c r="M14" s="1"/>
      <c r="N14" s="1"/>
      <c r="O14" s="1"/>
      <c r="P14" s="10"/>
      <c r="Q14" s="10"/>
      <c r="R14" s="663">
        <f>N16</f>
        <v>202324</v>
      </c>
      <c r="S14" s="663">
        <f>O16</f>
        <v>202425</v>
      </c>
      <c r="T14" s="10"/>
      <c r="U14" s="378">
        <f>SUM(U17:U40)</f>
        <v>0</v>
      </c>
      <c r="V14" s="378">
        <f>SUM(V17:V40)</f>
        <v>0</v>
      </c>
      <c r="W14" s="378">
        <f>SUM(W17:W40)</f>
        <v>0</v>
      </c>
      <c r="X14" s="10"/>
      <c r="Y14" s="10"/>
      <c r="Z14" s="10"/>
      <c r="AA14" s="10"/>
      <c r="AB14" s="409"/>
    </row>
    <row r="15" spans="1:28" ht="15" customHeight="1">
      <c r="A15" s="10"/>
      <c r="B15" s="22"/>
      <c r="C15" s="29"/>
      <c r="D15" s="24"/>
      <c r="E15" s="25"/>
      <c r="F15" s="25"/>
      <c r="G15" s="351" t="s">
        <v>742</v>
      </c>
      <c r="H15" s="30"/>
      <c r="I15" s="324"/>
      <c r="J15" s="411"/>
      <c r="K15" s="412"/>
      <c r="M15" s="280" t="str">
        <f>ValData!AN49</f>
        <v>YOY Figures</v>
      </c>
      <c r="N15" s="1"/>
      <c r="O15" s="1"/>
      <c r="P15" s="372" t="str">
        <f>ValData!AN42</f>
        <v>difference</v>
      </c>
      <c r="Q15" s="374"/>
      <c r="R15" s="664"/>
      <c r="S15" s="664"/>
      <c r="T15" s="665" t="str">
        <f>ValData!AN33</f>
        <v>type</v>
      </c>
      <c r="U15" s="666" t="str">
        <f>ValData!AN34</f>
        <v>auto</v>
      </c>
      <c r="V15" s="666" t="s">
        <v>3345</v>
      </c>
      <c r="W15" s="658" t="str">
        <f>ValData!AN36</f>
        <v>check</v>
      </c>
      <c r="X15" s="660" t="str">
        <f>ValData!AN37</f>
        <v>status</v>
      </c>
      <c r="Y15" s="10"/>
      <c r="Z15" s="10"/>
      <c r="AA15" s="10"/>
      <c r="AB15" s="409"/>
    </row>
    <row r="16" spans="1:28" ht="24.75" customHeight="1">
      <c r="A16" s="10"/>
      <c r="B16" s="31"/>
      <c r="C16" s="24" t="str">
        <f>Text!F30</f>
        <v>Expenditure and income</v>
      </c>
      <c r="D16" s="24"/>
      <c r="E16" s="25"/>
      <c r="F16" s="25"/>
      <c r="G16" s="32" t="s">
        <v>3</v>
      </c>
      <c r="H16" s="33"/>
      <c r="I16" s="325"/>
      <c r="J16" s="411"/>
      <c r="K16" s="318" t="s">
        <v>3370</v>
      </c>
      <c r="M16" s="371">
        <f>N16-101</f>
        <v>202223</v>
      </c>
      <c r="N16" s="371">
        <f>Year-101</f>
        <v>202324</v>
      </c>
      <c r="O16" s="371">
        <f>Year</f>
        <v>202425</v>
      </c>
      <c r="P16" s="373" t="str">
        <f>ValData!AN32</f>
        <v>value</v>
      </c>
      <c r="Q16" s="375" t="s">
        <v>3348</v>
      </c>
      <c r="R16" s="664"/>
      <c r="S16" s="664"/>
      <c r="T16" s="659"/>
      <c r="U16" s="659"/>
      <c r="V16" s="659"/>
      <c r="W16" s="659"/>
      <c r="X16" s="659"/>
      <c r="Y16" s="387" t="str">
        <f>ValData!AN38</f>
        <v>Your comments</v>
      </c>
      <c r="Z16" s="387" t="str">
        <f>ValData!AN39</f>
        <v>Our comments</v>
      </c>
      <c r="AA16" s="386" t="str">
        <f>ValData!AN40</f>
        <v>signed by</v>
      </c>
      <c r="AB16" s="385" t="str">
        <f>ValData!AN41</f>
        <v>date</v>
      </c>
    </row>
    <row r="17" spans="1:28" ht="20.100000000000001" customHeight="1">
      <c r="A17" s="10"/>
      <c r="B17" s="31"/>
      <c r="C17" s="399">
        <v>1</v>
      </c>
      <c r="D17" s="683" t="str">
        <f>Text!F31</f>
        <v>Budget requirement</v>
      </c>
      <c r="E17" s="684"/>
      <c r="F17" s="685"/>
      <c r="G17" s="475">
        <v>0</v>
      </c>
      <c r="H17" s="33"/>
      <c r="I17" s="325"/>
      <c r="J17" s="288" t="str">
        <f>Text!F58</f>
        <v>For information</v>
      </c>
      <c r="K17" s="288" t="str">
        <f>Text!F59</f>
        <v>Validation</v>
      </c>
      <c r="L17" s="332"/>
      <c r="M17" s="397" t="str">
        <f>IF(UANumber = 0,"",VLOOKUP(UANumber&amp;"_"&amp;$C17&amp;"_"&amp;M$16,ValData!$AD$4:$AJ$67,7,FALSE))</f>
        <v/>
      </c>
      <c r="N17" s="397" t="str">
        <f>IF(UANumber = 0,"",VLOOKUP(UANumber&amp;"_"&amp;$C17&amp;"_"&amp;N$16,ValData!$AD$4:$AJ$67,7,FALSE))</f>
        <v/>
      </c>
      <c r="O17" s="390" t="str">
        <f>IF(UANumber = 0,"",G17)</f>
        <v/>
      </c>
      <c r="P17" s="390" t="str">
        <f>IF(UANumber = 0,"",O17-N17)</f>
        <v/>
      </c>
      <c r="Q17" s="390" t="str">
        <f>IF(UANumber = 0,"",IF(OR(N17=0,O17=0),0,(P17/N17)*100))</f>
        <v/>
      </c>
      <c r="R17" s="463" t="str">
        <f>IF(N17=0,1,"")</f>
        <v/>
      </c>
      <c r="S17" s="463" t="str">
        <f>IF(O17=0,1,"")</f>
        <v/>
      </c>
      <c r="T17" s="405" t="str">
        <f>IF(UANumber = 0,"",IF(SUM(R17:S17)=2,"",IF(SUM(R17:S17)=1,9,IF(ABS(Q17)&gt;$N$13,2,""))))</f>
        <v/>
      </c>
      <c r="U17" s="405">
        <f>IF(T17&lt;&gt;"",1,0)</f>
        <v>0</v>
      </c>
      <c r="V17" s="405"/>
      <c r="W17" s="406">
        <f t="shared" ref="W17:W22" si="0">IF(X17="C",0,IF(V17=1,1,0))</f>
        <v>0</v>
      </c>
      <c r="X17" s="405"/>
      <c r="Y17" s="413"/>
      <c r="Z17" s="429"/>
      <c r="AA17" s="429"/>
      <c r="AB17" s="421"/>
    </row>
    <row r="18" spans="1:28" ht="20.100000000000001" customHeight="1">
      <c r="A18" s="10"/>
      <c r="B18" s="31"/>
      <c r="C18" s="399">
        <f>C17+1</f>
        <v>2</v>
      </c>
      <c r="D18" s="683" t="str">
        <f>Text!F32</f>
        <v>Re-distributed non-domestic rates</v>
      </c>
      <c r="E18" s="684"/>
      <c r="F18" s="685"/>
      <c r="G18" s="397" t="str">
        <f>J18</f>
        <v/>
      </c>
      <c r="H18" s="34"/>
      <c r="I18" s="326"/>
      <c r="J18" s="397" t="str">
        <f>IF(UANumber=0,"",VLOOKUP(UANumber,Data,4,FALSE))</f>
        <v/>
      </c>
      <c r="K18" s="391" t="str">
        <f>IF(OR(G18=0,G18=""),"",G18-J18)</f>
        <v/>
      </c>
      <c r="L18" s="333"/>
      <c r="M18" s="10"/>
      <c r="N18" s="296"/>
      <c r="O18" s="296"/>
      <c r="P18" s="296"/>
      <c r="Q18" s="297"/>
      <c r="R18" s="1"/>
      <c r="S18" s="1"/>
      <c r="T18" s="298"/>
      <c r="U18" s="287"/>
      <c r="V18" s="10"/>
      <c r="W18" s="299"/>
      <c r="X18" s="1"/>
      <c r="Y18" s="1"/>
      <c r="Z18" s="1"/>
      <c r="AA18" s="1"/>
      <c r="AB18" s="1"/>
    </row>
    <row r="19" spans="1:28" ht="20.100000000000001" customHeight="1">
      <c r="A19" s="10"/>
      <c r="B19" s="31"/>
      <c r="C19" s="399">
        <f>C18+1</f>
        <v>3</v>
      </c>
      <c r="D19" s="683" t="str">
        <f>Text!F33</f>
        <v>Revenue support grant</v>
      </c>
      <c r="E19" s="684"/>
      <c r="F19" s="685"/>
      <c r="G19" s="397" t="str">
        <f>J19</f>
        <v/>
      </c>
      <c r="H19" s="35"/>
      <c r="I19" s="327"/>
      <c r="J19" s="397" t="str">
        <f>IF(UANumber=0,"",VLOOKUP(UANumber,Data,5,FALSE))</f>
        <v/>
      </c>
      <c r="K19" s="391" t="str">
        <f t="shared" ref="K19:K20" si="1">IF(OR(G19=0,G19=""),"",G19-J19)</f>
        <v/>
      </c>
      <c r="L19" s="333"/>
      <c r="M19" s="10"/>
      <c r="N19" s="296"/>
      <c r="O19" s="296"/>
      <c r="P19" s="296"/>
      <c r="Q19" s="297"/>
      <c r="R19" s="1"/>
      <c r="S19" s="1"/>
      <c r="T19" s="298"/>
      <c r="U19" s="287"/>
      <c r="V19" s="10"/>
      <c r="W19" s="299"/>
      <c r="X19" s="1"/>
      <c r="Y19" s="1"/>
      <c r="Z19" s="1"/>
      <c r="AA19" s="1"/>
      <c r="AB19" s="1"/>
    </row>
    <row r="20" spans="1:28" ht="20.100000000000001" customHeight="1">
      <c r="A20" s="10"/>
      <c r="B20" s="31"/>
      <c r="C20" s="399">
        <f>C19+1</f>
        <v>4</v>
      </c>
      <c r="D20" s="683" t="str">
        <f>Text!F34</f>
        <v>Police grant allocation under principal formula (including floor funding)</v>
      </c>
      <c r="E20" s="684"/>
      <c r="F20" s="685"/>
      <c r="G20" s="397" t="str">
        <f>J20</f>
        <v/>
      </c>
      <c r="H20" s="36"/>
      <c r="I20" s="328"/>
      <c r="J20" s="459" t="str">
        <f>IF(UANumber=0,"",VLOOKUP(UANumber,Data,6,FALSE))</f>
        <v/>
      </c>
      <c r="K20" s="391" t="str">
        <f t="shared" si="1"/>
        <v/>
      </c>
      <c r="L20" s="333"/>
      <c r="M20" s="10"/>
      <c r="N20" s="296"/>
      <c r="O20" s="296"/>
      <c r="P20" s="296"/>
      <c r="Q20" s="297"/>
      <c r="R20" s="1"/>
      <c r="S20" s="1"/>
      <c r="T20" s="298"/>
      <c r="U20" s="287"/>
      <c r="V20" s="10"/>
      <c r="W20" s="299"/>
      <c r="X20" s="1"/>
      <c r="Y20" s="1"/>
      <c r="Z20" s="1"/>
      <c r="AA20" s="1"/>
      <c r="AB20" s="1"/>
    </row>
    <row r="21" spans="1:28" ht="20.100000000000001" customHeight="1">
      <c r="A21" s="10"/>
      <c r="B21" s="31"/>
      <c r="C21" s="399">
        <f>C20+1</f>
        <v>5</v>
      </c>
      <c r="D21" s="683" t="str">
        <f>Text!F35</f>
        <v>Sum of lines 2, 3 and 4</v>
      </c>
      <c r="E21" s="684"/>
      <c r="F21" s="685"/>
      <c r="G21" s="398" t="str">
        <f>IF(UANumber = 0,"",SUM(G18:G20))</f>
        <v/>
      </c>
      <c r="H21" s="28"/>
      <c r="J21" s="686" t="str">
        <f>Text!F65</f>
        <v>Cells J18, J19 and J20 above come from the Local Government Police Settlement, they must be repeated in cells G18, G19 and G20 which is why those cells are locked.</v>
      </c>
      <c r="K21" s="687"/>
      <c r="L21" s="334"/>
      <c r="M21" s="10"/>
      <c r="N21" s="296"/>
      <c r="O21" s="296"/>
      <c r="P21" s="296"/>
      <c r="Q21" s="297"/>
      <c r="R21" s="1"/>
      <c r="S21" s="1"/>
      <c r="T21" s="298"/>
      <c r="U21" s="287"/>
      <c r="V21" s="1"/>
      <c r="W21" s="299"/>
      <c r="X21" s="1"/>
      <c r="Y21" s="1"/>
      <c r="Z21" s="1"/>
      <c r="AA21" s="1"/>
      <c r="AB21" s="1"/>
    </row>
    <row r="22" spans="1:28" ht="20.100000000000001" customHeight="1">
      <c r="A22" s="10"/>
      <c r="B22" s="31"/>
      <c r="C22" s="399">
        <f>C21+1</f>
        <v>6</v>
      </c>
      <c r="D22" s="683" t="str">
        <f>Text!F36</f>
        <v>Amount to be collected from the council tax</v>
      </c>
      <c r="E22" s="684"/>
      <c r="F22" s="685"/>
      <c r="G22" s="398" t="str">
        <f>IF(UANumber = 0,"",G17-G21)</f>
        <v/>
      </c>
      <c r="H22" s="28"/>
      <c r="J22" s="688"/>
      <c r="K22" s="689"/>
      <c r="L22" s="334"/>
      <c r="M22" s="397" t="str">
        <f>IF(UANumber = 0,"",VLOOKUP(UANumber&amp;"_"&amp;$C22&amp;"_"&amp;M$16,ValData!$AD$4:$AJ$67,7,FALSE))</f>
        <v/>
      </c>
      <c r="N22" s="397" t="str">
        <f>IF(UANumber = 0,"",VLOOKUP(UANumber&amp;"_"&amp;$C22&amp;"_"&amp;N$16,ValData!$AD$4:$AJ$67,7,FALSE))</f>
        <v/>
      </c>
      <c r="O22" s="403" t="str">
        <f>IF(UANumber = 0,"",G22)</f>
        <v/>
      </c>
      <c r="P22" s="403" t="str">
        <f>IF(UANumber = 0,"",O22-N22)</f>
        <v/>
      </c>
      <c r="Q22" s="403" t="str">
        <f>IF(UANumber = 0,"",IF(OR(N22=0,O22=0),0,(P22/N22)*100))</f>
        <v/>
      </c>
      <c r="R22" s="404" t="str">
        <f>IF(N22=0,1,"")</f>
        <v/>
      </c>
      <c r="S22" s="404" t="str">
        <f>IF(O22=0,1,"")</f>
        <v/>
      </c>
      <c r="T22" s="407" t="str">
        <f>IF(UANumber = 0,"",IF(SUM(R22:S22)=2,"",IF(SUM(R22:S22)=1,9,IF(ABS(Q22)&gt;$N$13,2,""))))</f>
        <v/>
      </c>
      <c r="U22" s="407">
        <f>IF(T22&lt;&gt;"",1,0)</f>
        <v>0</v>
      </c>
      <c r="V22" s="407"/>
      <c r="W22" s="408">
        <f t="shared" si="0"/>
        <v>0</v>
      </c>
      <c r="X22" s="407"/>
      <c r="Y22" s="415"/>
      <c r="Z22" s="416"/>
      <c r="AA22" s="416"/>
      <c r="AB22" s="414"/>
    </row>
    <row r="23" spans="1:28" ht="20.25" customHeight="1">
      <c r="A23" s="10"/>
      <c r="B23" s="31"/>
      <c r="C23" s="37"/>
      <c r="D23" s="698"/>
      <c r="E23" s="684"/>
      <c r="F23" s="684"/>
      <c r="G23" s="32" t="str">
        <f>"("&amp;Text!F48&amp;")"</f>
        <v>(number)</v>
      </c>
      <c r="H23" s="30"/>
      <c r="I23" s="324"/>
      <c r="J23" s="690"/>
      <c r="K23" s="691"/>
      <c r="L23" s="333"/>
      <c r="M23" s="497"/>
      <c r="N23" s="497"/>
      <c r="O23" s="296"/>
      <c r="P23" s="296"/>
      <c r="Q23" s="296"/>
      <c r="R23" s="1"/>
      <c r="S23" s="1"/>
      <c r="T23" s="286"/>
      <c r="U23" s="286"/>
      <c r="V23" s="10"/>
      <c r="W23" s="10"/>
      <c r="X23" s="10"/>
      <c r="Y23" s="10"/>
      <c r="Z23" s="10"/>
      <c r="AA23" s="10"/>
      <c r="AB23" s="1"/>
    </row>
    <row r="24" spans="1:28" ht="20.100000000000001" customHeight="1">
      <c r="A24" s="10"/>
      <c r="B24" s="31"/>
      <c r="C24" s="399">
        <f>C22+1</f>
        <v>7</v>
      </c>
      <c r="D24" s="683" t="str">
        <f>Text!F37</f>
        <v>Council tax base for area (band D equivalent)</v>
      </c>
      <c r="E24" s="684"/>
      <c r="F24" s="685"/>
      <c r="G24" s="396">
        <v>0</v>
      </c>
      <c r="H24" s="38"/>
      <c r="I24" s="329"/>
      <c r="J24" s="392" t="str">
        <f>IF(UANumber=0,"",VLOOKUP(UANumber,Data,14,FALSE))</f>
        <v/>
      </c>
      <c r="K24" s="392" t="str">
        <f>IF(UANumber=0,"",ROUND(G24,2)-ROUND(J24,2))</f>
        <v/>
      </c>
      <c r="L24" s="335"/>
      <c r="M24" s="397" t="str">
        <f>IF(UANumber = 0,"",VLOOKUP(UANumber&amp;"_"&amp;$C24&amp;"_"&amp;M$16,ValData!$AD$4:$AJ$67,7,FALSE))</f>
        <v/>
      </c>
      <c r="N24" s="397" t="str">
        <f>IF(UANumber = 0,"",VLOOKUP(UANumber&amp;"_"&amp;$C24&amp;"_"&amp;N$16,ValData!$AD$4:$AJ$67,7,FALSE))</f>
        <v/>
      </c>
      <c r="O24" s="403" t="str">
        <f>IF(UANumber = 0,"",G24)</f>
        <v/>
      </c>
      <c r="P24" s="403" t="str">
        <f>IF(UANumber = 0,"",O24-N24)</f>
        <v/>
      </c>
      <c r="Q24" s="403" t="str">
        <f>IF(UANumber = 0,"",IF(OR(N24=0,O24=0),0,(P24/N24)*100))</f>
        <v/>
      </c>
      <c r="R24" s="404" t="str">
        <f t="shared" ref="R24:R25" si="2">IF(N24=0,1,"")</f>
        <v/>
      </c>
      <c r="S24" s="404" t="str">
        <f t="shared" ref="S24:S25" si="3">IF(O24=0,1,"")</f>
        <v/>
      </c>
      <c r="T24" s="407" t="str">
        <f>IF(UANumber = 0,"",IF(SUM(R24:S24)=2,"",IF(SUM(R24:S24)=1,9,IF(ABS(Q24)&gt;$N$13,2,""))))</f>
        <v/>
      </c>
      <c r="U24" s="407">
        <f t="shared" ref="U24:U25" si="4">IF(T24&lt;&gt;"",1,0)</f>
        <v>0</v>
      </c>
      <c r="V24" s="407"/>
      <c r="W24" s="408">
        <f>IF(X24="C",0,IF(V24=1,1,0))</f>
        <v>0</v>
      </c>
      <c r="X24" s="407"/>
      <c r="Y24" s="415"/>
      <c r="Z24" s="416"/>
      <c r="AA24" s="416"/>
      <c r="AB24" s="414"/>
    </row>
    <row r="25" spans="1:28" ht="20.100000000000001" customHeight="1">
      <c r="A25" s="10"/>
      <c r="B25" s="31"/>
      <c r="C25" s="399">
        <f>C24+1</f>
        <v>8</v>
      </c>
      <c r="D25" s="683" t="str">
        <f>Text!F38</f>
        <v>Council tax calculated under s44 (line 6 ÷ line 7)</v>
      </c>
      <c r="E25" s="684"/>
      <c r="F25" s="685"/>
      <c r="G25" s="395" t="str">
        <f>IF(UANumber = 0,"",IF(G24=0,0,ROUND(G22/G24,2)))</f>
        <v/>
      </c>
      <c r="H25" s="39"/>
      <c r="I25" s="330"/>
      <c r="J25" s="411"/>
      <c r="K25" s="412"/>
      <c r="L25" s="417"/>
      <c r="M25" s="397" t="str">
        <f>IF(UANumber = 0,"",VLOOKUP(UANumber&amp;"_"&amp;$C25&amp;"_"&amp;M$16,ValData!$AD$4:$AJ$67,7,FALSE))</f>
        <v/>
      </c>
      <c r="N25" s="397" t="str">
        <f>IF(UANumber = 0,"",VLOOKUP(UANumber&amp;"_"&amp;$C25&amp;"_"&amp;N$16,ValData!$AD$4:$AJ$67,7,FALSE))</f>
        <v/>
      </c>
      <c r="O25" s="403" t="str">
        <f>IF(UANumber = 0,"",G25)</f>
        <v/>
      </c>
      <c r="P25" s="403" t="str">
        <f>IF(UANumber = 0,"",O25-N25)</f>
        <v/>
      </c>
      <c r="Q25" s="403" t="str">
        <f>IF(UANumber = 0,"",IF(OR(N25=0,O25=0),0,(P25/N25)*100))</f>
        <v/>
      </c>
      <c r="R25" s="404" t="str">
        <f t="shared" si="2"/>
        <v/>
      </c>
      <c r="S25" s="404" t="str">
        <f t="shared" si="3"/>
        <v/>
      </c>
      <c r="T25" s="407" t="str">
        <f>IF(UANumber = 0,"",IF(SUM(R25:S25)=2,"",IF(SUM(R25:S25)=1,9,IF(ABS(Q25)&gt;$N$13,2,""))))</f>
        <v/>
      </c>
      <c r="U25" s="407">
        <f t="shared" si="4"/>
        <v>0</v>
      </c>
      <c r="V25" s="407"/>
      <c r="W25" s="408">
        <f>IF(X25="C",0,IF(V25=1,1,0))</f>
        <v>0</v>
      </c>
      <c r="X25" s="407"/>
      <c r="Y25" s="415"/>
      <c r="Z25" s="416"/>
      <c r="AA25" s="416"/>
      <c r="AB25" s="414"/>
    </row>
    <row r="26" spans="1:28" ht="16.5" customHeight="1">
      <c r="A26" s="10"/>
      <c r="B26" s="31"/>
      <c r="C26" s="24" t="str">
        <f>Text!F39</f>
        <v>Precepts</v>
      </c>
      <c r="D26" s="24"/>
      <c r="E26" s="40"/>
      <c r="F26" s="40"/>
      <c r="G26" s="40"/>
      <c r="H26" s="38"/>
      <c r="I26" s="329"/>
      <c r="J26" s="411"/>
      <c r="K26" s="412"/>
      <c r="L26" s="333"/>
      <c r="M26" s="10"/>
      <c r="N26" s="296"/>
      <c r="O26" s="296"/>
      <c r="P26" s="296"/>
      <c r="Q26" s="296"/>
      <c r="R26" s="296"/>
      <c r="S26" s="296"/>
      <c r="T26" s="296"/>
      <c r="U26" s="296"/>
      <c r="V26" s="296"/>
      <c r="W26" s="296"/>
      <c r="X26" s="296"/>
      <c r="Y26" s="296"/>
      <c r="Z26" s="296"/>
      <c r="AA26" s="296"/>
      <c r="AB26" s="10"/>
    </row>
    <row r="27" spans="1:28" ht="24.75" customHeight="1">
      <c r="A27" s="10"/>
      <c r="B27" s="22"/>
      <c r="C27" s="25"/>
      <c r="D27" s="682" t="str">
        <f>Text!F40</f>
        <v>(Amounts of precepts issued to billing authorities in accordance with section 40(2)b of the Local Government Finance Act 1992)</v>
      </c>
      <c r="E27" s="682"/>
      <c r="F27" s="682"/>
      <c r="G27" s="682"/>
      <c r="H27" s="36"/>
      <c r="I27" s="328"/>
      <c r="J27" s="411"/>
      <c r="K27" s="318" t="s">
        <v>3370</v>
      </c>
      <c r="L27" s="333"/>
      <c r="M27" s="10"/>
      <c r="N27" s="296"/>
      <c r="O27" s="296"/>
      <c r="P27" s="296"/>
      <c r="Q27" s="296"/>
      <c r="R27" s="296"/>
      <c r="S27" s="296"/>
      <c r="T27" s="296"/>
      <c r="U27" s="296"/>
      <c r="V27" s="296"/>
      <c r="W27" s="296"/>
      <c r="X27" s="296"/>
      <c r="Y27" s="296"/>
      <c r="Z27" s="296"/>
      <c r="AA27" s="296"/>
      <c r="AB27" s="10"/>
    </row>
    <row r="28" spans="1:28" ht="25.5">
      <c r="A28" s="10"/>
      <c r="B28" s="22"/>
      <c r="C28" s="41"/>
      <c r="D28" s="42" t="s">
        <v>108</v>
      </c>
      <c r="E28" s="43"/>
      <c r="F28" s="42" t="s">
        <v>109</v>
      </c>
      <c r="G28" s="42" t="s">
        <v>110</v>
      </c>
      <c r="H28" s="28"/>
      <c r="J28" s="289" t="str">
        <f>" (5)  "&amp;Text!F58</f>
        <v xml:space="preserve"> (5)  For information</v>
      </c>
      <c r="K28" s="289" t="str">
        <f>K17</f>
        <v>Validation</v>
      </c>
      <c r="L28" s="333"/>
      <c r="M28" s="10"/>
      <c r="N28" s="296"/>
      <c r="O28" s="296"/>
      <c r="P28" s="296"/>
      <c r="Q28" s="296"/>
      <c r="R28" s="296"/>
      <c r="S28" s="296"/>
      <c r="T28" s="296"/>
      <c r="U28" s="296"/>
      <c r="V28" s="296"/>
      <c r="W28" s="296"/>
      <c r="X28" s="296"/>
      <c r="Y28" s="296"/>
      <c r="Z28" s="296"/>
      <c r="AA28" s="296"/>
      <c r="AB28" s="10"/>
    </row>
    <row r="29" spans="1:28" ht="36.75" customHeight="1">
      <c r="A29" s="10"/>
      <c r="B29" s="22"/>
      <c r="C29" s="41"/>
      <c r="D29" s="460" t="str">
        <f>Text!F41</f>
        <v>Name of billing authority</v>
      </c>
      <c r="E29" s="461"/>
      <c r="F29" s="466" t="str">
        <f>Text!F49</f>
        <v>Taxbase (Band D equivalent)</v>
      </c>
      <c r="G29" s="401" t="str">
        <f>Text!F50&amp;" (£)"</f>
        <v>Precept (£)</v>
      </c>
      <c r="H29" s="28"/>
      <c r="J29" s="289" t="str">
        <f>Text!F60</f>
        <v>taxbase</v>
      </c>
      <c r="K29" s="290"/>
      <c r="L29" s="333"/>
      <c r="M29" s="10"/>
      <c r="N29" s="296"/>
      <c r="O29" s="296"/>
      <c r="P29" s="296"/>
      <c r="Q29" s="296"/>
      <c r="R29" s="296"/>
      <c r="S29" s="296"/>
      <c r="T29" s="296"/>
      <c r="U29" s="296"/>
      <c r="V29" s="296"/>
      <c r="W29" s="296"/>
      <c r="X29" s="296"/>
      <c r="Y29" s="296"/>
      <c r="Z29" s="296"/>
      <c r="AA29" s="296"/>
      <c r="AB29" s="10"/>
    </row>
    <row r="30" spans="1:28" ht="20.100000000000001" customHeight="1">
      <c r="A30" s="10"/>
      <c r="B30" s="22"/>
      <c r="C30" s="400">
        <v>11</v>
      </c>
      <c r="D30" s="55" t="str">
        <f>IF(UANumber=0,C5,VLOOKUP(UANumber,Data,7,FALSE))</f>
        <v xml:space="preserve">Authority: </v>
      </c>
      <c r="E30" s="362"/>
      <c r="F30" s="393" t="str">
        <f t="shared" ref="F30:F36" si="5">J30</f>
        <v/>
      </c>
      <c r="G30" s="394">
        <v>0</v>
      </c>
      <c r="H30" s="28"/>
      <c r="J30" s="391" t="str">
        <f>IF(UANumber=0,"",(IF(D30=Text!F42,0,(VLOOKUP(D30,Taxbase,2,FALSE)))))</f>
        <v/>
      </c>
      <c r="K30" s="391" t="str">
        <f>IF(OR(F30=0,F30=""),"",F30-J30)</f>
        <v/>
      </c>
      <c r="L30" s="335"/>
      <c r="M30" s="10"/>
      <c r="N30" s="296"/>
      <c r="O30" s="296"/>
      <c r="P30" s="296"/>
      <c r="Q30" s="297"/>
      <c r="R30" s="1"/>
      <c r="S30" s="1"/>
      <c r="T30" s="292" t="str">
        <f>IF(U30=1,4,"")</f>
        <v/>
      </c>
      <c r="U30" s="446" t="str">
        <f t="shared" ref="U30:U40" si="6">IF(UANumber = 0,"",IF(K30=0,0,1))</f>
        <v/>
      </c>
      <c r="V30" s="10"/>
      <c r="W30" s="299">
        <f>IF(X30="C",0,IF(V30=1,1,0))</f>
        <v>0</v>
      </c>
      <c r="X30" s="418"/>
      <c r="Y30" s="419"/>
      <c r="Z30" s="420"/>
      <c r="AA30" s="420"/>
      <c r="AB30" s="421"/>
    </row>
    <row r="31" spans="1:28" ht="20.100000000000001" customHeight="1">
      <c r="A31" s="10"/>
      <c r="B31" s="22"/>
      <c r="C31" s="400">
        <v>12</v>
      </c>
      <c r="D31" s="55" t="str">
        <f>IF(UANumber=0,C5,VLOOKUP(UANumber,Data,8,FALSE))</f>
        <v xml:space="preserve">Authority: </v>
      </c>
      <c r="E31" s="362"/>
      <c r="F31" s="393" t="str">
        <f t="shared" si="5"/>
        <v/>
      </c>
      <c r="G31" s="394">
        <v>0</v>
      </c>
      <c r="H31" s="28"/>
      <c r="J31" s="391" t="str">
        <f>IF(UANumber=0,"",(IF(D31=Text!F42,0,(VLOOKUP(D31,Taxbase,2,FALSE)))))</f>
        <v/>
      </c>
      <c r="K31" s="391" t="str">
        <f t="shared" ref="K31:K36" si="7">IF(OR(F31=0,F31=""),"",F31-J31)</f>
        <v/>
      </c>
      <c r="L31" s="335"/>
      <c r="M31" s="10"/>
      <c r="N31" s="296"/>
      <c r="O31" s="296"/>
      <c r="P31" s="296"/>
      <c r="Q31" s="297"/>
      <c r="R31" s="1"/>
      <c r="S31" s="1"/>
      <c r="T31" s="292" t="str">
        <f t="shared" ref="T31:T37" si="8">IF(U31=1,4,"")</f>
        <v/>
      </c>
      <c r="U31" s="446" t="str">
        <f t="shared" si="6"/>
        <v/>
      </c>
      <c r="V31" s="10"/>
      <c r="W31" s="299">
        <f t="shared" ref="W31:W36" si="9">IF(X31="C",0,IF(V31=1,1,0))</f>
        <v>0</v>
      </c>
      <c r="X31" s="418"/>
      <c r="Y31" s="419"/>
      <c r="Z31" s="420"/>
      <c r="AA31" s="420"/>
      <c r="AB31" s="421"/>
    </row>
    <row r="32" spans="1:28" ht="20.100000000000001" customHeight="1">
      <c r="A32" s="10"/>
      <c r="B32" s="22"/>
      <c r="C32" s="400">
        <v>13</v>
      </c>
      <c r="D32" s="55" t="str">
        <f>IF(UANumber=0,C5,VLOOKUP(UANumber,Data,9,FALSE))</f>
        <v xml:space="preserve">Authority: </v>
      </c>
      <c r="E32" s="362"/>
      <c r="F32" s="393" t="str">
        <f t="shared" si="5"/>
        <v/>
      </c>
      <c r="G32" s="394">
        <v>0</v>
      </c>
      <c r="H32" s="28"/>
      <c r="J32" s="391" t="str">
        <f>IF(UANumber=0,"",(IF(D32=Text!F42,0,(VLOOKUP(D32,Taxbase,2,FALSE)))))</f>
        <v/>
      </c>
      <c r="K32" s="391" t="str">
        <f t="shared" si="7"/>
        <v/>
      </c>
      <c r="L32" s="335"/>
      <c r="M32" s="10"/>
      <c r="N32" s="296"/>
      <c r="O32" s="296"/>
      <c r="P32" s="296"/>
      <c r="Q32" s="297"/>
      <c r="R32" s="1"/>
      <c r="S32" s="1"/>
      <c r="T32" s="292" t="str">
        <f t="shared" si="8"/>
        <v/>
      </c>
      <c r="U32" s="446" t="str">
        <f t="shared" si="6"/>
        <v/>
      </c>
      <c r="V32" s="10"/>
      <c r="W32" s="299">
        <f t="shared" si="9"/>
        <v>0</v>
      </c>
      <c r="X32" s="418"/>
      <c r="Y32" s="419"/>
      <c r="Z32" s="420"/>
      <c r="AA32" s="420"/>
      <c r="AB32" s="421"/>
    </row>
    <row r="33" spans="1:28" ht="20.100000000000001" customHeight="1">
      <c r="A33" s="10"/>
      <c r="B33" s="22"/>
      <c r="C33" s="400">
        <v>14</v>
      </c>
      <c r="D33" s="55" t="str">
        <f>IF(UANumber=0,C5,VLOOKUP(UANumber,Data,10,FALSE))</f>
        <v xml:space="preserve">Authority: </v>
      </c>
      <c r="E33" s="362"/>
      <c r="F33" s="393" t="str">
        <f t="shared" si="5"/>
        <v/>
      </c>
      <c r="G33" s="394">
        <v>0</v>
      </c>
      <c r="H33" s="28"/>
      <c r="J33" s="391" t="str">
        <f>IF(UANumber=0,"",(IF(D33=Text!F42,0,(VLOOKUP(D33,Taxbase,2,FALSE)))))</f>
        <v/>
      </c>
      <c r="K33" s="391" t="str">
        <f t="shared" si="7"/>
        <v/>
      </c>
      <c r="L33" s="335"/>
      <c r="M33" s="10"/>
      <c r="N33" s="296"/>
      <c r="O33" s="296"/>
      <c r="P33" s="296"/>
      <c r="Q33" s="297"/>
      <c r="R33" s="1"/>
      <c r="S33" s="1"/>
      <c r="T33" s="292" t="str">
        <f t="shared" si="8"/>
        <v/>
      </c>
      <c r="U33" s="446" t="str">
        <f t="shared" si="6"/>
        <v/>
      </c>
      <c r="V33" s="10"/>
      <c r="W33" s="299">
        <f t="shared" si="9"/>
        <v>0</v>
      </c>
      <c r="X33" s="418"/>
      <c r="Y33" s="419"/>
      <c r="Z33" s="420"/>
      <c r="AA33" s="420"/>
      <c r="AB33" s="421"/>
    </row>
    <row r="34" spans="1:28" ht="20.100000000000001" customHeight="1">
      <c r="A34" s="10"/>
      <c r="B34" s="22"/>
      <c r="C34" s="400">
        <v>15</v>
      </c>
      <c r="D34" s="55" t="str">
        <f>IF(UANumber=0,C5,VLOOKUP(UANumber,Data,11,FALSE))</f>
        <v xml:space="preserve">Authority: </v>
      </c>
      <c r="E34" s="362"/>
      <c r="F34" s="393" t="str">
        <f t="shared" si="5"/>
        <v/>
      </c>
      <c r="G34" s="394">
        <v>0</v>
      </c>
      <c r="H34" s="28"/>
      <c r="J34" s="391" t="str">
        <f>IF(UANumber=0,"",(IF(D34=Text!F42,0,(VLOOKUP(D34,Taxbase,2,FALSE)))))</f>
        <v/>
      </c>
      <c r="K34" s="391" t="str">
        <f t="shared" si="7"/>
        <v/>
      </c>
      <c r="L34" s="335"/>
      <c r="M34" s="10"/>
      <c r="N34" s="296"/>
      <c r="O34" s="296"/>
      <c r="P34" s="296"/>
      <c r="Q34" s="297"/>
      <c r="R34" s="1"/>
      <c r="S34" s="1"/>
      <c r="T34" s="292" t="str">
        <f t="shared" si="8"/>
        <v/>
      </c>
      <c r="U34" s="446" t="str">
        <f t="shared" si="6"/>
        <v/>
      </c>
      <c r="V34" s="10"/>
      <c r="W34" s="299">
        <f t="shared" si="9"/>
        <v>0</v>
      </c>
      <c r="X34" s="418"/>
      <c r="Y34" s="419"/>
      <c r="Z34" s="420"/>
      <c r="AA34" s="420"/>
      <c r="AB34" s="421"/>
    </row>
    <row r="35" spans="1:28" ht="20.100000000000001" customHeight="1">
      <c r="A35" s="10"/>
      <c r="B35" s="22"/>
      <c r="C35" s="400">
        <v>16</v>
      </c>
      <c r="D35" s="55" t="str">
        <f>IF(UANumber=0,C5,VLOOKUP(UANumber,Data,12,FALSE))</f>
        <v xml:space="preserve">Authority: </v>
      </c>
      <c r="E35" s="362"/>
      <c r="F35" s="393" t="str">
        <f t="shared" si="5"/>
        <v/>
      </c>
      <c r="G35" s="394">
        <v>0</v>
      </c>
      <c r="H35" s="28"/>
      <c r="J35" s="391" t="str">
        <f>IF(UANumber=0,"",(IF(D35=Text!F42,0,(VLOOKUP(D35,Taxbase,2,FALSE)))))</f>
        <v/>
      </c>
      <c r="K35" s="391" t="str">
        <f t="shared" si="7"/>
        <v/>
      </c>
      <c r="L35" s="335"/>
      <c r="M35" s="10"/>
      <c r="N35" s="296"/>
      <c r="O35" s="296"/>
      <c r="P35" s="296"/>
      <c r="Q35" s="297"/>
      <c r="R35" s="1"/>
      <c r="S35" s="1"/>
      <c r="T35" s="292" t="str">
        <f t="shared" si="8"/>
        <v/>
      </c>
      <c r="U35" s="446" t="str">
        <f t="shared" si="6"/>
        <v/>
      </c>
      <c r="V35" s="10"/>
      <c r="W35" s="299">
        <f t="shared" si="9"/>
        <v>0</v>
      </c>
      <c r="X35" s="418"/>
      <c r="Y35" s="419"/>
      <c r="Z35" s="420"/>
      <c r="AA35" s="420"/>
      <c r="AB35" s="421"/>
    </row>
    <row r="36" spans="1:28" ht="20.100000000000001" customHeight="1">
      <c r="A36" s="10"/>
      <c r="B36" s="22"/>
      <c r="C36" s="400">
        <v>17</v>
      </c>
      <c r="D36" s="460" t="str">
        <f>IF(UANumber=0,C5,VLOOKUP(UANumber,Data,13,FALSE))</f>
        <v xml:space="preserve">Authority: </v>
      </c>
      <c r="E36" s="462"/>
      <c r="F36" s="393" t="str">
        <f t="shared" si="5"/>
        <v/>
      </c>
      <c r="G36" s="394">
        <v>0</v>
      </c>
      <c r="H36" s="28"/>
      <c r="J36" s="391" t="str">
        <f>IF(UANumber=0,"",(IF(D36=Text!F42,0,(VLOOKUP(D36,Taxbase,2,FALSE)))))</f>
        <v/>
      </c>
      <c r="K36" s="391" t="str">
        <f t="shared" si="7"/>
        <v/>
      </c>
      <c r="L36" s="335"/>
      <c r="M36" s="10"/>
      <c r="N36" s="296"/>
      <c r="O36" s="296"/>
      <c r="P36" s="296"/>
      <c r="Q36" s="297"/>
      <c r="R36" s="1"/>
      <c r="S36" s="1"/>
      <c r="T36" s="292" t="str">
        <f t="shared" si="8"/>
        <v/>
      </c>
      <c r="U36" s="446" t="str">
        <f t="shared" si="6"/>
        <v/>
      </c>
      <c r="V36" s="10"/>
      <c r="W36" s="299">
        <f t="shared" si="9"/>
        <v>0</v>
      </c>
      <c r="X36" s="418"/>
      <c r="Y36" s="422"/>
      <c r="Z36" s="420"/>
      <c r="AA36" s="420"/>
      <c r="AB36" s="421"/>
    </row>
    <row r="37" spans="1:28" ht="26.25" customHeight="1">
      <c r="A37" s="10"/>
      <c r="B37" s="22"/>
      <c r="C37" s="400">
        <v>18</v>
      </c>
      <c r="D37" s="699" t="str">
        <f>Text!F43</f>
        <v>Total of lines 11 to 17 (to agree with lines 7 and 6 above)</v>
      </c>
      <c r="E37" s="700"/>
      <c r="F37" s="391" t="str">
        <f>IF(UANumber = 0,"",SUMIF($D30:$D36,"&lt;&gt;Text!F40",F30:F36))</f>
        <v/>
      </c>
      <c r="G37" s="391" t="str">
        <f>IF(UANumber = 0,"",SUMIF($D30:$D36,"&lt;&gt;Text!F40",G30:G36))</f>
        <v/>
      </c>
      <c r="H37" s="28"/>
      <c r="J37" s="391" t="str">
        <f>IF(UANumber=0,"",IF(D37=Text!F42,"",SUM(J30:J36)))</f>
        <v/>
      </c>
      <c r="K37" s="391" t="str">
        <f>IF(UANumber = 0,"",IF(F37=0,0,F37-J37))</f>
        <v/>
      </c>
      <c r="L37" s="335"/>
      <c r="M37" s="10"/>
      <c r="N37" s="296"/>
      <c r="O37" s="296"/>
      <c r="P37" s="296"/>
      <c r="Q37" s="297"/>
      <c r="R37" s="1"/>
      <c r="S37" s="1"/>
      <c r="T37" s="292" t="str">
        <f t="shared" si="8"/>
        <v/>
      </c>
      <c r="U37" s="446" t="str">
        <f t="shared" si="6"/>
        <v/>
      </c>
      <c r="V37" s="446" t="str">
        <f>IF(UANumber = 0,"",IF(L37=0,0,1))</f>
        <v/>
      </c>
      <c r="W37" s="446" t="str">
        <f>IF(UANumber = 0,"",IF(M37=0,0,1))</f>
        <v/>
      </c>
      <c r="X37" s="446" t="str">
        <f>IF(UANumber = 0,"",IF(N37=0,0,1))</f>
        <v/>
      </c>
      <c r="Y37" s="423"/>
      <c r="Z37" s="424"/>
      <c r="AA37" s="420"/>
      <c r="AB37" s="421"/>
    </row>
    <row r="38" spans="1:28" ht="15" customHeight="1">
      <c r="A38" s="10"/>
      <c r="B38" s="44"/>
      <c r="C38" s="45"/>
      <c r="D38" s="46"/>
      <c r="E38" s="47"/>
      <c r="F38" s="48"/>
      <c r="G38" s="49"/>
      <c r="H38" s="28"/>
      <c r="J38" s="425"/>
      <c r="K38" s="426"/>
      <c r="L38" s="417"/>
      <c r="M38" s="10"/>
      <c r="N38" s="296"/>
      <c r="O38" s="296"/>
      <c r="P38" s="10"/>
      <c r="Q38" s="10"/>
      <c r="R38" s="10"/>
      <c r="S38" s="10"/>
      <c r="T38" s="1" t="str">
        <f t="shared" ref="T38" si="10">IF(U38=1,4,"")</f>
        <v/>
      </c>
      <c r="U38" s="498" t="str">
        <f t="shared" si="6"/>
        <v/>
      </c>
      <c r="V38" s="10"/>
      <c r="W38" s="10"/>
      <c r="X38" s="10"/>
      <c r="Y38" s="10"/>
      <c r="Z38" s="10"/>
      <c r="AA38" s="10"/>
      <c r="AB38" s="10"/>
    </row>
    <row r="39" spans="1:28" ht="24">
      <c r="A39" s="10"/>
      <c r="B39" s="50"/>
      <c r="C39" s="25"/>
      <c r="D39" s="51"/>
      <c r="E39" s="52"/>
      <c r="F39" s="53"/>
      <c r="G39" s="54"/>
      <c r="H39" s="28"/>
      <c r="J39" s="402" t="str">
        <f>Text!F61</f>
        <v>Line 18 Col. 3 minus line 7</v>
      </c>
      <c r="K39" s="402" t="str">
        <f>Text!F62</f>
        <v xml:space="preserve">Line 18 Col. 4 minus line 6 </v>
      </c>
      <c r="L39" s="336"/>
      <c r="M39" s="10"/>
      <c r="N39" s="296"/>
      <c r="O39" s="296"/>
      <c r="P39" s="296"/>
      <c r="Q39" s="297"/>
      <c r="R39" s="297"/>
      <c r="S39" s="297"/>
      <c r="T39" s="297"/>
      <c r="U39" s="498" t="str">
        <f t="shared" si="6"/>
        <v/>
      </c>
      <c r="V39" s="297"/>
      <c r="W39" s="297"/>
      <c r="X39" s="297"/>
      <c r="Y39" s="10"/>
      <c r="Z39" s="10"/>
      <c r="AA39" s="10"/>
      <c r="AB39" s="10"/>
    </row>
    <row r="40" spans="1:28" ht="18.75" customHeight="1">
      <c r="A40" s="10"/>
      <c r="B40" s="22"/>
      <c r="C40" s="352" t="str">
        <f>Text!F44</f>
        <v>Certification of Chief Financial Officer</v>
      </c>
      <c r="D40" s="29"/>
      <c r="E40" s="29"/>
      <c r="F40" s="29"/>
      <c r="G40" s="321"/>
      <c r="H40" s="28"/>
      <c r="J40" s="391" t="str">
        <f>IF(UANumber = 0,"",IF(G17=0,0,ROUND(F37,2)-ROUND(G24,2)))</f>
        <v/>
      </c>
      <c r="K40" s="391" t="str">
        <f>IF(UANumber = 0,"",IF(G17=0,0,ROUND(G37,2)-ROUND(G22,2)))</f>
        <v/>
      </c>
      <c r="L40" s="335"/>
      <c r="M40" s="10"/>
      <c r="N40" s="389"/>
      <c r="O40" s="389"/>
      <c r="P40" s="1"/>
      <c r="Q40" s="297"/>
      <c r="R40" s="1"/>
      <c r="S40" s="1"/>
      <c r="T40" s="292" t="str">
        <f>IF(U40=1,4,"")</f>
        <v/>
      </c>
      <c r="U40" s="446" t="str">
        <f t="shared" si="6"/>
        <v/>
      </c>
      <c r="V40" s="10"/>
      <c r="W40" s="299">
        <f>IF(X40="C",0,IF(V40=1,1,0))</f>
        <v>0</v>
      </c>
      <c r="X40" s="287"/>
      <c r="Y40" s="423"/>
      <c r="Z40" s="427"/>
      <c r="AA40" s="420"/>
      <c r="AB40" s="421"/>
    </row>
    <row r="41" spans="1:28" ht="15" customHeight="1">
      <c r="A41" s="10"/>
      <c r="B41" s="22"/>
      <c r="C41" s="667" t="str">
        <f>Text!F45</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c r="D41" s="668"/>
      <c r="E41" s="668"/>
      <c r="F41" s="668"/>
      <c r="G41" s="669"/>
      <c r="H41" s="28"/>
      <c r="L41" s="335"/>
      <c r="M41" s="275"/>
      <c r="N41" s="275"/>
      <c r="O41" s="275"/>
      <c r="P41" s="275"/>
      <c r="Q41" s="275"/>
      <c r="R41" s="275"/>
      <c r="S41" s="275"/>
      <c r="T41" s="275"/>
      <c r="U41" s="275"/>
      <c r="V41" s="275"/>
      <c r="W41" s="275"/>
      <c r="X41" s="275"/>
      <c r="Y41" s="275"/>
      <c r="Z41" s="275"/>
      <c r="AA41" s="275"/>
      <c r="AB41" s="275"/>
    </row>
    <row r="42" spans="1:28">
      <c r="A42" s="10"/>
      <c r="B42" s="22"/>
      <c r="C42" s="670"/>
      <c r="D42" s="671"/>
      <c r="E42" s="671"/>
      <c r="F42" s="671"/>
      <c r="G42" s="672"/>
      <c r="H42" s="28"/>
      <c r="M42" s="10"/>
      <c r="N42" s="10"/>
      <c r="O42" s="10"/>
      <c r="P42" s="10"/>
      <c r="Q42" s="10"/>
      <c r="R42" s="10"/>
      <c r="S42" s="10"/>
      <c r="T42" s="10"/>
      <c r="U42" s="10"/>
      <c r="V42" s="10"/>
      <c r="W42" s="10"/>
      <c r="X42" s="10"/>
      <c r="Y42" s="10"/>
      <c r="Z42" s="10"/>
      <c r="AA42" s="10"/>
      <c r="AB42" s="10"/>
    </row>
    <row r="43" spans="1:28">
      <c r="A43" s="10"/>
      <c r="B43" s="22"/>
      <c r="C43" s="673"/>
      <c r="D43" s="674"/>
      <c r="E43" s="674"/>
      <c r="F43" s="674"/>
      <c r="G43" s="675"/>
      <c r="H43" s="28"/>
      <c r="M43" s="10"/>
      <c r="N43" s="10"/>
      <c r="O43" s="10"/>
      <c r="P43" s="10"/>
      <c r="Q43" s="10"/>
      <c r="R43" s="10"/>
      <c r="S43" s="10"/>
      <c r="T43" s="10"/>
      <c r="U43" s="10"/>
      <c r="V43" s="10"/>
      <c r="W43" s="10"/>
      <c r="X43" s="10"/>
      <c r="Y43" s="10"/>
      <c r="Z43" s="10"/>
      <c r="AA43" s="10"/>
      <c r="AB43" s="10"/>
    </row>
    <row r="44" spans="1:28" ht="15" customHeight="1">
      <c r="A44" s="10"/>
      <c r="B44" s="22"/>
      <c r="C44" s="322"/>
      <c r="D44" s="322"/>
      <c r="E44" s="322"/>
      <c r="F44" s="322"/>
      <c r="G44" s="322"/>
      <c r="H44" s="28"/>
      <c r="M44" s="10"/>
      <c r="N44" s="10"/>
      <c r="O44" s="10"/>
      <c r="P44" s="10"/>
      <c r="Q44" s="10"/>
      <c r="R44" s="10"/>
      <c r="S44" s="10"/>
      <c r="T44" s="10"/>
      <c r="U44" s="10"/>
      <c r="V44" s="10"/>
      <c r="W44" s="10"/>
      <c r="X44" s="10"/>
      <c r="Y44" s="10"/>
      <c r="Z44" s="10"/>
      <c r="AA44" s="10"/>
      <c r="AB44" s="10"/>
    </row>
    <row r="45" spans="1:28" ht="51" customHeight="1">
      <c r="A45" s="10"/>
      <c r="B45" s="22"/>
      <c r="C45" s="25"/>
      <c r="D45" s="529" t="str">
        <f>Text!F46&amp;" "</f>
        <v xml:space="preserve">Signature of Chief Financial Officer: </v>
      </c>
      <c r="E45" s="320"/>
      <c r="F45" s="55"/>
      <c r="G45" s="464" t="str">
        <f>Text!F47</f>
        <v>For Welsh Government administration only</v>
      </c>
      <c r="H45" s="28"/>
      <c r="M45" s="10"/>
      <c r="N45" s="10"/>
      <c r="O45" s="10"/>
      <c r="P45" s="10"/>
      <c r="Q45" s="10"/>
      <c r="R45" s="10"/>
      <c r="S45" s="10"/>
      <c r="T45" s="10"/>
      <c r="U45" s="10"/>
      <c r="V45" s="10"/>
      <c r="W45" s="10"/>
      <c r="X45" s="10"/>
      <c r="Y45" s="10"/>
      <c r="Z45" s="10"/>
      <c r="AA45" s="10"/>
      <c r="AB45" s="10"/>
    </row>
    <row r="46" spans="1:28" ht="15" customHeight="1">
      <c r="A46" s="10"/>
      <c r="B46" s="22"/>
      <c r="C46" s="56"/>
      <c r="D46" s="56"/>
      <c r="E46" s="56"/>
      <c r="F46" s="56"/>
      <c r="G46" s="319"/>
      <c r="H46" s="28"/>
      <c r="M46" s="10"/>
      <c r="N46" s="10"/>
      <c r="O46" s="10"/>
      <c r="P46" s="10"/>
      <c r="Q46" s="10"/>
      <c r="R46" s="10"/>
      <c r="S46" s="10"/>
      <c r="T46" s="10"/>
      <c r="U46" s="10"/>
      <c r="V46" s="10"/>
      <c r="W46" s="10"/>
      <c r="X46" s="10"/>
      <c r="Y46" s="10"/>
      <c r="Z46" s="10"/>
      <c r="AA46" s="10"/>
      <c r="AB46" s="10"/>
    </row>
    <row r="47" spans="1:28" ht="45" customHeight="1">
      <c r="A47" s="10"/>
      <c r="B47" s="22"/>
      <c r="C47" s="56"/>
      <c r="D47" s="529" t="str">
        <f>Text!F53&amp;" "</f>
        <v xml:space="preserve">Date: </v>
      </c>
      <c r="E47" s="320"/>
      <c r="F47" s="55"/>
      <c r="G47" s="465" t="str">
        <f>Transfer!H46</f>
        <v>ZZZZZZZZZZZZZZ</v>
      </c>
      <c r="H47" s="28"/>
      <c r="M47" s="10"/>
      <c r="N47" s="10"/>
      <c r="O47" s="10"/>
      <c r="P47" s="10"/>
      <c r="Q47" s="10"/>
      <c r="R47" s="10"/>
      <c r="S47" s="10"/>
      <c r="T47" s="10"/>
      <c r="U47" s="10"/>
      <c r="V47" s="10"/>
      <c r="W47" s="10"/>
      <c r="X47" s="10"/>
      <c r="Y47" s="10"/>
      <c r="Z47" s="10"/>
      <c r="AA47" s="10"/>
      <c r="AB47" s="10"/>
    </row>
    <row r="48" spans="1:28" ht="15" customHeight="1">
      <c r="A48" s="10"/>
      <c r="B48" s="57"/>
      <c r="C48" s="58"/>
      <c r="D48" s="59"/>
      <c r="E48" s="60"/>
      <c r="F48" s="60"/>
      <c r="G48" s="59"/>
      <c r="H48" s="61"/>
      <c r="M48" s="10"/>
      <c r="N48" s="10"/>
      <c r="O48" s="10"/>
      <c r="P48" s="10"/>
      <c r="Q48" s="10"/>
      <c r="R48" s="10"/>
      <c r="S48" s="10"/>
      <c r="T48" s="10"/>
      <c r="U48" s="10"/>
      <c r="V48" s="10"/>
      <c r="W48" s="10"/>
      <c r="X48" s="10"/>
      <c r="Y48" s="10"/>
      <c r="Z48" s="10"/>
      <c r="AA48" s="10"/>
      <c r="AB48" s="10"/>
    </row>
  </sheetData>
  <sheetProtection sheet="1" objects="1" scenarios="1"/>
  <mergeCells count="25">
    <mergeCell ref="C11:F11"/>
    <mergeCell ref="C7:F7"/>
    <mergeCell ref="J4:J6"/>
    <mergeCell ref="D23:F23"/>
    <mergeCell ref="D37:E37"/>
    <mergeCell ref="C41:G43"/>
    <mergeCell ref="J12:K14"/>
    <mergeCell ref="D27:G27"/>
    <mergeCell ref="D21:F21"/>
    <mergeCell ref="D22:F22"/>
    <mergeCell ref="D24:F24"/>
    <mergeCell ref="D25:F25"/>
    <mergeCell ref="J21:K23"/>
    <mergeCell ref="D17:F17"/>
    <mergeCell ref="D18:F18"/>
    <mergeCell ref="D19:F19"/>
    <mergeCell ref="D20:F20"/>
    <mergeCell ref="W15:W16"/>
    <mergeCell ref="X15:X16"/>
    <mergeCell ref="R13:S13"/>
    <mergeCell ref="R14:R16"/>
    <mergeCell ref="S14:S16"/>
    <mergeCell ref="T15:T16"/>
    <mergeCell ref="U15:U16"/>
    <mergeCell ref="V15:V16"/>
  </mergeCells>
  <phoneticPr fontId="0" type="noConversion"/>
  <conditionalFormatting sqref="G18:G20">
    <cfRule type="expression" dxfId="22" priority="44" stopIfTrue="1">
      <formula>$J$33="Please select your authority on front page"</formula>
    </cfRule>
  </conditionalFormatting>
  <conditionalFormatting sqref="G45">
    <cfRule type="expression" dxfId="21" priority="65" stopIfTrue="1">
      <formula>"$G$44&lt;&gt;ZZZZZZZZZZZZZZ"</formula>
    </cfRule>
  </conditionalFormatting>
  <conditionalFormatting sqref="G47">
    <cfRule type="expression" dxfId="20" priority="17" stopIfTrue="1">
      <formula>"$G$44&lt;&gt;ZZZZZZZZZZZZZZ"</formula>
    </cfRule>
  </conditionalFormatting>
  <conditionalFormatting sqref="H18:I18 F30:G36">
    <cfRule type="expression" dxfId="19" priority="60" stopIfTrue="1">
      <formula>$G$18="Please select your authority on front page"</formula>
    </cfRule>
  </conditionalFormatting>
  <conditionalFormatting sqref="H19:I19 G24">
    <cfRule type="expression" dxfId="18" priority="62" stopIfTrue="1">
      <formula>$G$19="Please select your authority on front page"</formula>
    </cfRule>
  </conditionalFormatting>
  <conditionalFormatting sqref="H20:I20 G21:G22 G25 H27:I27 F37:G37">
    <cfRule type="expression" dxfId="17" priority="59" stopIfTrue="1">
      <formula>$F$24="Please select your authority on front page"</formula>
    </cfRule>
  </conditionalFormatting>
  <conditionalFormatting sqref="J40:K40 K18:K20 K24 K30:K37">
    <cfRule type="cellIs" dxfId="16" priority="2" stopIfTrue="1" operator="notEqual">
      <formula>0</formula>
    </cfRule>
  </conditionalFormatting>
  <conditionalFormatting sqref="J40:K40">
    <cfRule type="expression" dxfId="15" priority="1" stopIfTrue="1">
      <formula>$J$33="Please select your authority on front page"</formula>
    </cfRule>
  </conditionalFormatting>
  <conditionalFormatting sqref="J18:L20">
    <cfRule type="expression" dxfId="14" priority="50" stopIfTrue="1">
      <formula>$J$33="Please select your authority on front page"</formula>
    </cfRule>
  </conditionalFormatting>
  <conditionalFormatting sqref="J24:L24">
    <cfRule type="expression" dxfId="13" priority="49" stopIfTrue="1">
      <formula>$J$33="Please select your authority on front page"</formula>
    </cfRule>
  </conditionalFormatting>
  <conditionalFormatting sqref="J40:L40">
    <cfRule type="expression" dxfId="12" priority="3" stopIfTrue="1">
      <formula>$J$33="Please select your authority on front page"</formula>
    </cfRule>
  </conditionalFormatting>
  <conditionalFormatting sqref="L23">
    <cfRule type="expression" dxfId="11" priority="21" stopIfTrue="1">
      <formula>$J$33="Please select your authority on front page"</formula>
    </cfRule>
  </conditionalFormatting>
  <conditionalFormatting sqref="L26:L37">
    <cfRule type="expression" dxfId="10" priority="19" stopIfTrue="1">
      <formula>$J$33="Please select your authority on front page"</formula>
    </cfRule>
  </conditionalFormatting>
  <conditionalFormatting sqref="L41">
    <cfRule type="expression" dxfId="9" priority="18" stopIfTrue="1">
      <formula>$J$33="Please select your authority on front page"</formula>
    </cfRule>
  </conditionalFormatting>
  <conditionalFormatting sqref="M17:N17">
    <cfRule type="expression" dxfId="8" priority="10" stopIfTrue="1">
      <formula>$J$33="Please select your authority on front page"</formula>
    </cfRule>
  </conditionalFormatting>
  <conditionalFormatting sqref="M22:N25">
    <cfRule type="expression" dxfId="7" priority="9" stopIfTrue="1">
      <formula>$J$33="Please select your authority on front page"</formula>
    </cfRule>
  </conditionalFormatting>
  <conditionalFormatting sqref="U17:U25 U30:U40 V37:X37">
    <cfRule type="cellIs" dxfId="6" priority="23" stopIfTrue="1" operator="equal">
      <formula>1</formula>
    </cfRule>
  </conditionalFormatting>
  <conditionalFormatting sqref="U17:X17 U18:W21 U22:X22 U23:U25 U30:AB37 U38:U40 V24:X25 V40:AB40">
    <cfRule type="cellIs" dxfId="5" priority="38" stopIfTrue="1" operator="equal">
      <formula>0</formula>
    </cfRule>
  </conditionalFormatting>
  <conditionalFormatting sqref="U17:AB17 U18:W21 U22:AB22 U23:U25 V24:AB25 U30:AB37 U38:U40 Y40:AB40">
    <cfRule type="cellIs" priority="40" stopIfTrue="1" operator="equal">
      <formula>""</formula>
    </cfRule>
  </conditionalFormatting>
  <conditionalFormatting sqref="Y17:AB17 Y22:AB22 Y24:AB25">
    <cfRule type="cellIs" dxfId="4" priority="41" stopIfTrue="1" operator="equal">
      <formula>0</formula>
    </cfRule>
  </conditionalFormatting>
  <hyperlinks>
    <hyperlink ref="E12" r:id="rId1" xr:uid="{00000000-0004-0000-0100-000000000000}"/>
    <hyperlink ref="D12" r:id="rId2" xr:uid="{00000000-0004-0000-0100-000001000000}"/>
    <hyperlink ref="E8" r:id="rId3" xr:uid="{00000000-0004-0000-0100-000002000000}"/>
    <hyperlink ref="D8" r:id="rId4" xr:uid="{00000000-0004-0000-0100-000003000000}"/>
  </hyperlinks>
  <printOptions horizontalCentered="1"/>
  <pageMargins left="0.23622047244094491" right="0.23622047244094491" top="0.39370078740157483" bottom="0.27559055118110237" header="0.31496062992125984" footer="0.15748031496062992"/>
  <pageSetup paperSize="9" scale="82" orientation="portrait" r:id="rId5"/>
  <headerFooter alignWithMargins="0"/>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M35"/>
  <sheetViews>
    <sheetView workbookViewId="0">
      <selection activeCell="F12" sqref="F12"/>
    </sheetView>
  </sheetViews>
  <sheetFormatPr defaultColWidth="8.88671875" defaultRowHeight="15" customHeight="1"/>
  <cols>
    <col min="1" max="1" width="8.88671875" style="300" customWidth="1"/>
    <col min="2" max="2" width="3.21875" style="300" customWidth="1"/>
    <col min="3" max="3" width="8.88671875" style="300" customWidth="1"/>
    <col min="4" max="4" width="1.77734375" style="300" customWidth="1"/>
    <col min="5" max="8" width="8.88671875" style="300" customWidth="1"/>
    <col min="9" max="9" width="12.33203125" style="300" customWidth="1"/>
    <col min="10" max="10" width="5" style="300" customWidth="1"/>
    <col min="11" max="11" width="1.77734375" style="300" customWidth="1"/>
    <col min="12" max="12" width="9.5546875" style="300" customWidth="1"/>
    <col min="13" max="13" width="3.21875" style="300" customWidth="1"/>
    <col min="14" max="16384" width="8.88671875" style="300"/>
  </cols>
  <sheetData>
    <row r="1" spans="1:13" s="301" customFormat="1" ht="15" customHeight="1">
      <c r="A1" s="125"/>
      <c r="B1" s="125"/>
      <c r="C1" s="125"/>
      <c r="D1" s="125"/>
      <c r="E1" s="125"/>
      <c r="F1" s="125"/>
      <c r="G1" s="125"/>
      <c r="H1" s="125"/>
      <c r="I1" s="125"/>
      <c r="J1" s="125"/>
      <c r="K1" s="125"/>
      <c r="L1" s="125"/>
      <c r="M1" s="125"/>
    </row>
    <row r="2" spans="1:13" s="301" customFormat="1" ht="22.5" customHeight="1">
      <c r="A2" s="125"/>
      <c r="B2" s="249"/>
      <c r="C2" s="353" t="str">
        <f>'BR2'!C4&amp;'BR2'!D4</f>
        <v xml:space="preserve">Code: </v>
      </c>
      <c r="D2" s="356" t="str">
        <f>'BR2'!D5</f>
        <v>Please select your region on the FrontPage</v>
      </c>
      <c r="E2" s="354"/>
      <c r="F2" s="355"/>
      <c r="G2" s="355"/>
      <c r="H2" s="355"/>
      <c r="I2" s="355"/>
      <c r="J2" s="355"/>
      <c r="K2" s="366"/>
      <c r="L2" s="367"/>
      <c r="M2" s="368" t="str">
        <f>FrontPage!M2&amp;", "&amp;Details!J3</f>
        <v>BR2, 2024-25</v>
      </c>
    </row>
    <row r="3" spans="1:13" s="301" customFormat="1" ht="19.5" customHeight="1">
      <c r="A3" s="125"/>
      <c r="B3" s="126"/>
      <c r="C3" s="127"/>
      <c r="D3" s="127"/>
      <c r="E3" s="127"/>
      <c r="F3" s="128"/>
      <c r="G3" s="128"/>
      <c r="H3" s="128"/>
      <c r="I3" s="128"/>
      <c r="J3" s="128"/>
      <c r="K3" s="128"/>
      <c r="L3" s="128"/>
      <c r="M3" s="129"/>
    </row>
    <row r="4" spans="1:13" s="301" customFormat="1" ht="15" customHeight="1">
      <c r="A4" s="125"/>
      <c r="B4" s="126"/>
      <c r="C4" s="130"/>
      <c r="D4" s="130"/>
      <c r="E4" s="130"/>
      <c r="F4" s="130"/>
      <c r="G4" s="130"/>
      <c r="H4" s="130"/>
      <c r="I4" s="130"/>
      <c r="J4" s="131"/>
      <c r="K4" s="131"/>
      <c r="L4" s="131"/>
      <c r="M4" s="129"/>
    </row>
    <row r="5" spans="1:13" s="301" customFormat="1" ht="15.75">
      <c r="A5" s="125"/>
      <c r="B5" s="126"/>
      <c r="C5" s="130" t="str">
        <f>Text!F67</f>
        <v>Survey Response Burden</v>
      </c>
      <c r="D5" s="128"/>
      <c r="E5" s="131"/>
      <c r="F5" s="131"/>
      <c r="G5" s="131"/>
      <c r="H5" s="131"/>
      <c r="I5" s="131"/>
      <c r="J5" s="131"/>
      <c r="K5" s="131"/>
      <c r="L5" s="131"/>
      <c r="M5" s="129"/>
    </row>
    <row r="6" spans="1:13" s="285" customFormat="1" ht="38.25" customHeight="1">
      <c r="A6" s="132"/>
      <c r="B6" s="126"/>
      <c r="C6" s="701" t="str">
        <f>Text!F68</f>
        <v xml:space="preserve">The Welsh Government are monitoring the burden of completing this data collection form. </v>
      </c>
      <c r="D6" s="701"/>
      <c r="E6" s="701"/>
      <c r="F6" s="701"/>
      <c r="G6" s="701"/>
      <c r="H6" s="701"/>
      <c r="I6" s="701"/>
      <c r="J6" s="701"/>
      <c r="K6" s="701"/>
      <c r="L6" s="701"/>
      <c r="M6" s="134"/>
    </row>
    <row r="7" spans="1:13" s="285" customFormat="1" ht="29.25" customHeight="1">
      <c r="A7" s="132"/>
      <c r="B7" s="126"/>
      <c r="C7" s="701" t="str">
        <f>Text!F69</f>
        <v>Please enter the time it has taken you (and any colleagues) to prepare and send the return.</v>
      </c>
      <c r="D7" s="701"/>
      <c r="E7" s="701"/>
      <c r="F7" s="701"/>
      <c r="G7" s="701"/>
      <c r="H7" s="701"/>
      <c r="I7" s="701"/>
      <c r="J7" s="701"/>
      <c r="K7" s="701"/>
      <c r="L7" s="701"/>
      <c r="M7" s="134"/>
    </row>
    <row r="8" spans="1:13" s="285" customFormat="1" ht="12.75" customHeight="1">
      <c r="A8" s="132"/>
      <c r="B8" s="126"/>
      <c r="C8" s="701" t="str">
        <f>Text!F70</f>
        <v>Please only include time spent on activities to prepare and send this return, such as:</v>
      </c>
      <c r="D8" s="701"/>
      <c r="E8" s="701"/>
      <c r="F8" s="701"/>
      <c r="G8" s="701"/>
      <c r="H8" s="701"/>
      <c r="I8" s="701"/>
      <c r="J8" s="701"/>
      <c r="K8" s="701"/>
      <c r="L8" s="701"/>
      <c r="M8" s="134"/>
    </row>
    <row r="9" spans="1:13" s="285" customFormat="1" ht="12.75" customHeight="1">
      <c r="A9" s="132"/>
      <c r="B9" s="126"/>
      <c r="C9" s="701" t="str">
        <f>"  ● "&amp;Text!F71</f>
        <v xml:space="preserve">  ● collection, analysis and aggregation of records and data required;</v>
      </c>
      <c r="D9" s="701"/>
      <c r="E9" s="701"/>
      <c r="F9" s="701"/>
      <c r="G9" s="701"/>
      <c r="H9" s="701"/>
      <c r="I9" s="701"/>
      <c r="J9" s="701"/>
      <c r="K9" s="701"/>
      <c r="L9" s="701"/>
      <c r="M9" s="134"/>
    </row>
    <row r="10" spans="1:13" s="285" customFormat="1" ht="12.75" customHeight="1">
      <c r="A10" s="132"/>
      <c r="B10" s="126"/>
      <c r="C10" s="701" t="str">
        <f>"  ● "&amp;Text!F72</f>
        <v xml:space="preserve">  ● completing, checking, amending and approving the form.</v>
      </c>
      <c r="D10" s="701"/>
      <c r="E10" s="701"/>
      <c r="F10" s="701"/>
      <c r="G10" s="701"/>
      <c r="H10" s="701"/>
      <c r="I10" s="701"/>
      <c r="J10" s="701"/>
      <c r="K10" s="701"/>
      <c r="L10" s="701"/>
      <c r="M10" s="134"/>
    </row>
    <row r="11" spans="1:13" s="285" customFormat="1" ht="12.75" customHeight="1">
      <c r="A11" s="132"/>
      <c r="B11" s="126"/>
      <c r="C11" s="133"/>
      <c r="D11" s="133"/>
      <c r="E11" s="133"/>
      <c r="F11" s="133"/>
      <c r="G11" s="133"/>
      <c r="H11" s="133"/>
      <c r="I11" s="133"/>
      <c r="J11" s="133"/>
      <c r="K11" s="133"/>
      <c r="L11" s="133"/>
      <c r="M11" s="134"/>
    </row>
    <row r="12" spans="1:13" s="285" customFormat="1" ht="12.75">
      <c r="A12" s="132"/>
      <c r="B12" s="126"/>
      <c r="C12" s="135" t="str">
        <f>Text!F73</f>
        <v>Hours taken</v>
      </c>
      <c r="D12" s="135"/>
      <c r="E12" s="136"/>
      <c r="F12" s="137"/>
      <c r="G12" s="137"/>
      <c r="H12" s="137"/>
      <c r="I12" s="138"/>
      <c r="J12" s="138"/>
      <c r="K12" s="138"/>
      <c r="L12" s="139"/>
      <c r="M12" s="140"/>
    </row>
    <row r="13" spans="1:13" s="285" customFormat="1" ht="12.75">
      <c r="A13" s="132"/>
      <c r="B13" s="126"/>
      <c r="C13" s="135"/>
      <c r="D13" s="135"/>
      <c r="E13" s="139"/>
      <c r="F13" s="137"/>
      <c r="G13" s="137"/>
      <c r="H13" s="137"/>
      <c r="I13" s="138"/>
      <c r="J13" s="138"/>
      <c r="K13" s="138"/>
      <c r="L13" s="139"/>
      <c r="M13" s="140"/>
    </row>
    <row r="14" spans="1:13" s="285" customFormat="1" ht="19.5" customHeight="1">
      <c r="A14" s="132"/>
      <c r="B14" s="126"/>
      <c r="C14" s="131" t="str">
        <f>Text!F74</f>
        <v>Please feel free to add any comments</v>
      </c>
      <c r="D14" s="131"/>
      <c r="E14" s="131"/>
      <c r="F14" s="131"/>
      <c r="G14" s="131"/>
      <c r="H14" s="131"/>
      <c r="I14" s="131"/>
      <c r="J14" s="131"/>
      <c r="K14" s="131"/>
      <c r="L14" s="131"/>
      <c r="M14" s="129"/>
    </row>
    <row r="15" spans="1:13" s="285" customFormat="1" ht="15" customHeight="1">
      <c r="A15" s="132"/>
      <c r="B15" s="126"/>
      <c r="C15" s="131"/>
      <c r="D15" s="131"/>
      <c r="E15" s="131"/>
      <c r="F15" s="131"/>
      <c r="G15" s="131"/>
      <c r="H15" s="131"/>
      <c r="I15" s="131"/>
      <c r="J15" s="131"/>
      <c r="K15" s="131"/>
      <c r="L15" s="131"/>
      <c r="M15" s="129"/>
    </row>
    <row r="16" spans="1:13" s="285" customFormat="1" ht="15" customHeight="1">
      <c r="A16" s="132"/>
      <c r="B16" s="126"/>
      <c r="C16" s="131"/>
      <c r="D16" s="131"/>
      <c r="E16" s="131"/>
      <c r="F16" s="131"/>
      <c r="G16" s="131"/>
      <c r="H16" s="131"/>
      <c r="I16" s="131"/>
      <c r="J16" s="131"/>
      <c r="K16" s="131"/>
      <c r="L16" s="131"/>
      <c r="M16" s="129"/>
    </row>
    <row r="17" spans="1:13" s="285" customFormat="1" ht="15" customHeight="1">
      <c r="A17" s="132"/>
      <c r="B17" s="126"/>
      <c r="C17" s="131"/>
      <c r="D17" s="131"/>
      <c r="E17" s="131"/>
      <c r="F17" s="131"/>
      <c r="G17" s="131"/>
      <c r="H17" s="131"/>
      <c r="I17" s="131"/>
      <c r="J17" s="131"/>
      <c r="K17" s="131"/>
      <c r="L17" s="131"/>
      <c r="M17" s="129"/>
    </row>
    <row r="18" spans="1:13" s="285" customFormat="1" ht="15" customHeight="1">
      <c r="A18" s="132"/>
      <c r="B18" s="126"/>
      <c r="C18" s="131"/>
      <c r="D18" s="131"/>
      <c r="E18" s="131"/>
      <c r="F18" s="131"/>
      <c r="G18" s="131"/>
      <c r="H18" s="131"/>
      <c r="I18" s="131"/>
      <c r="J18" s="131"/>
      <c r="K18" s="131"/>
      <c r="L18" s="131"/>
      <c r="M18" s="129"/>
    </row>
    <row r="19" spans="1:13" s="285" customFormat="1" ht="15" customHeight="1">
      <c r="A19" s="132"/>
      <c r="B19" s="126"/>
      <c r="C19" s="131"/>
      <c r="D19" s="131"/>
      <c r="E19" s="131"/>
      <c r="F19" s="131"/>
      <c r="G19" s="131"/>
      <c r="H19" s="131"/>
      <c r="I19" s="131"/>
      <c r="J19" s="131"/>
      <c r="K19" s="131"/>
      <c r="L19" s="131"/>
      <c r="M19" s="129"/>
    </row>
    <row r="20" spans="1:13" s="285" customFormat="1" ht="15" customHeight="1">
      <c r="A20" s="132"/>
      <c r="B20" s="126"/>
      <c r="C20" s="131"/>
      <c r="D20" s="131"/>
      <c r="E20" s="131"/>
      <c r="F20" s="131"/>
      <c r="G20" s="131"/>
      <c r="H20" s="131"/>
      <c r="I20" s="131"/>
      <c r="J20" s="131"/>
      <c r="K20" s="131"/>
      <c r="L20" s="131"/>
      <c r="M20" s="129"/>
    </row>
    <row r="21" spans="1:13" s="285" customFormat="1" ht="15" customHeight="1">
      <c r="A21" s="132"/>
      <c r="B21" s="141"/>
      <c r="C21" s="142"/>
      <c r="D21" s="142"/>
      <c r="E21" s="142"/>
      <c r="F21" s="142"/>
      <c r="G21" s="142"/>
      <c r="H21" s="142"/>
      <c r="I21" s="142"/>
      <c r="J21" s="142"/>
      <c r="K21" s="142"/>
      <c r="L21" s="142"/>
      <c r="M21" s="143"/>
    </row>
    <row r="22" spans="1:13" s="301" customFormat="1" ht="15" customHeight="1"/>
    <row r="23" spans="1:13" s="301" customFormat="1" ht="15" customHeight="1"/>
    <row r="24" spans="1:13" s="301" customFormat="1" ht="15" customHeight="1"/>
    <row r="25" spans="1:13" s="301" customFormat="1" ht="15" customHeight="1"/>
    <row r="26" spans="1:13" s="301" customFormat="1" ht="15" customHeight="1"/>
    <row r="27" spans="1:13" s="301" customFormat="1" ht="15" customHeight="1"/>
    <row r="28" spans="1:13" s="301" customFormat="1" ht="15" customHeight="1"/>
    <row r="29" spans="1:13" s="301" customFormat="1" ht="15" customHeight="1"/>
    <row r="30" spans="1:13" s="301" customFormat="1" ht="15" customHeight="1"/>
    <row r="31" spans="1:13" s="301" customFormat="1" ht="15" customHeight="1"/>
    <row r="32" spans="1:13" s="301" customFormat="1" ht="15" customHeight="1"/>
    <row r="33" s="301" customFormat="1" ht="15" customHeight="1"/>
    <row r="34" s="301" customFormat="1" ht="15" customHeight="1"/>
    <row r="35" s="301" customFormat="1" ht="15" customHeight="1"/>
  </sheetData>
  <sheetProtection sheet="1" objects="1" scenarios="1"/>
  <mergeCells count="5">
    <mergeCell ref="C6:L6"/>
    <mergeCell ref="C7:L7"/>
    <mergeCell ref="C8:L8"/>
    <mergeCell ref="C9:L9"/>
    <mergeCell ref="C10:L10"/>
  </mergeCells>
  <conditionalFormatting sqref="M12:M13">
    <cfRule type="cellIs" dxfId="3" priority="1" stopIfTrue="1" operator="equal">
      <formula>"ü"</formula>
    </cfRule>
    <cfRule type="cellIs" dxfId="2" priority="2" stopIfTrue="1" operator="equal">
      <formula>"û"</formula>
    </cfRule>
    <cfRule type="cellIs" dxfId="1" priority="3" stopIfTrue="1" operator="equal">
      <formula>"!"</formula>
    </cfRule>
  </conditionalFormatting>
  <pageMargins left="0.70866141732283472" right="0.70866141732283472" top="0.74803149606299213" bottom="0.74803149606299213" header="0.31496062992125984" footer="0.31496062992125984"/>
  <pageSetup paperSize="9" scale="90"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X41"/>
  <sheetViews>
    <sheetView workbookViewId="0"/>
  </sheetViews>
  <sheetFormatPr defaultColWidth="10.77734375" defaultRowHeight="15" customHeight="1"/>
  <cols>
    <col min="1" max="1" width="8.88671875" style="285" customWidth="1"/>
    <col min="2" max="2" width="3.109375" style="300" customWidth="1"/>
    <col min="3" max="3" width="8.88671875" style="300" customWidth="1"/>
    <col min="4" max="4" width="9.33203125" style="300" customWidth="1"/>
    <col min="5" max="5" width="13.88671875" style="300" bestFit="1" customWidth="1"/>
    <col min="6" max="6" width="8.88671875" style="300" customWidth="1"/>
    <col min="7" max="7" width="6" style="300" bestFit="1" customWidth="1"/>
    <col min="8" max="8" width="8.88671875" style="300" customWidth="1"/>
    <col min="9" max="9" width="10.77734375" style="300" customWidth="1"/>
    <col min="10" max="10" width="6.88671875" style="300" customWidth="1"/>
    <col min="11" max="11" width="3.109375" style="285" customWidth="1"/>
    <col min="12" max="24" width="8.88671875" style="285" customWidth="1"/>
    <col min="25" max="16384" width="10.77734375" style="300"/>
  </cols>
  <sheetData>
    <row r="1" spans="1:11">
      <c r="A1" s="132"/>
      <c r="B1" s="132"/>
      <c r="C1" s="132"/>
      <c r="D1" s="132"/>
      <c r="E1" s="132"/>
      <c r="F1" s="132"/>
      <c r="G1" s="132"/>
      <c r="H1" s="132"/>
      <c r="I1" s="132"/>
      <c r="J1" s="132"/>
      <c r="K1" s="132"/>
    </row>
    <row r="2" spans="1:11" ht="22.5" customHeight="1">
      <c r="A2" s="132"/>
      <c r="B2" s="250"/>
      <c r="C2" s="357" t="str">
        <f>'BR2'!C4&amp;'BR2'!D4</f>
        <v xml:space="preserve">Code: </v>
      </c>
      <c r="D2" s="359" t="str">
        <f>'BR2'!D5</f>
        <v>Please select your region on the FrontPage</v>
      </c>
      <c r="E2" s="358"/>
      <c r="F2" s="358"/>
      <c r="G2" s="358"/>
      <c r="H2" s="358"/>
      <c r="I2" s="358"/>
      <c r="J2" s="370"/>
      <c r="K2" s="369" t="str">
        <f>FrontPage!M2&amp;", "&amp;Details!J3</f>
        <v>BR2, 2024-25</v>
      </c>
    </row>
    <row r="3" spans="1:11" ht="12" customHeight="1">
      <c r="A3" s="132"/>
      <c r="B3" s="144"/>
      <c r="C3" s="145"/>
      <c r="D3" s="145"/>
      <c r="E3" s="145"/>
      <c r="F3" s="145"/>
      <c r="G3" s="145"/>
      <c r="H3" s="145"/>
      <c r="I3" s="145"/>
      <c r="J3" s="271"/>
      <c r="K3" s="272"/>
    </row>
    <row r="4" spans="1:11" ht="47.25" customHeight="1">
      <c r="A4" s="132"/>
      <c r="B4" s="144"/>
      <c r="C4" s="145"/>
      <c r="D4" s="145"/>
      <c r="E4" s="145"/>
      <c r="F4" s="145"/>
      <c r="G4" s="145"/>
      <c r="H4" s="145"/>
      <c r="I4" s="145"/>
      <c r="J4" s="271"/>
      <c r="K4" s="272"/>
    </row>
    <row r="5" spans="1:11" ht="15" customHeight="1">
      <c r="A5" s="132"/>
      <c r="B5" s="144"/>
      <c r="C5" s="145"/>
      <c r="D5" s="145"/>
      <c r="E5" s="145"/>
      <c r="F5" s="145"/>
      <c r="G5" s="145"/>
      <c r="H5" s="145"/>
      <c r="I5" s="145"/>
      <c r="J5" s="271"/>
      <c r="K5" s="272"/>
    </row>
    <row r="6" spans="1:11" ht="15" customHeight="1">
      <c r="A6" s="132"/>
      <c r="B6" s="144"/>
      <c r="C6" s="564" t="str">
        <f>Text!F79</f>
        <v>Form Design</v>
      </c>
      <c r="D6" s="146"/>
      <c r="E6" s="145"/>
      <c r="F6" s="145"/>
      <c r="G6" s="145"/>
      <c r="H6" s="145"/>
      <c r="I6" s="145"/>
      <c r="J6" s="271"/>
      <c r="K6" s="272"/>
    </row>
    <row r="7" spans="1:11" ht="15" customHeight="1">
      <c r="A7" s="132"/>
      <c r="B7" s="144"/>
      <c r="C7" s="145"/>
      <c r="D7" s="145"/>
      <c r="E7" s="145"/>
      <c r="F7" s="145"/>
      <c r="G7" s="145"/>
      <c r="H7" s="145"/>
      <c r="I7" s="145"/>
      <c r="J7" s="271"/>
      <c r="K7" s="272"/>
    </row>
    <row r="8" spans="1:11" ht="15" customHeight="1">
      <c r="A8" s="132"/>
      <c r="B8" s="144"/>
      <c r="C8" s="145"/>
      <c r="D8" s="145"/>
      <c r="E8" s="145"/>
      <c r="F8" s="145"/>
      <c r="G8" s="145"/>
      <c r="H8" s="145"/>
      <c r="I8" s="145"/>
      <c r="J8" s="271"/>
      <c r="K8" s="272"/>
    </row>
    <row r="9" spans="1:11" ht="15" customHeight="1">
      <c r="A9" s="132"/>
      <c r="B9" s="144"/>
      <c r="C9" s="145"/>
      <c r="D9" s="145"/>
      <c r="E9" s="145"/>
      <c r="F9" s="145"/>
      <c r="G9" s="145"/>
      <c r="H9" s="145"/>
      <c r="I9" s="145"/>
      <c r="J9" s="271"/>
      <c r="K9" s="272"/>
    </row>
    <row r="10" spans="1:11" ht="15" customHeight="1">
      <c r="A10" s="132"/>
      <c r="B10" s="144"/>
      <c r="C10" s="145"/>
      <c r="D10" s="145"/>
      <c r="E10" s="145"/>
      <c r="F10" s="145"/>
      <c r="G10" s="145"/>
      <c r="H10" s="145"/>
      <c r="I10" s="145"/>
      <c r="J10" s="271"/>
      <c r="K10" s="272"/>
    </row>
    <row r="11" spans="1:11" ht="15" customHeight="1">
      <c r="A11" s="132"/>
      <c r="B11" s="144"/>
      <c r="C11" s="145"/>
      <c r="D11" s="145"/>
      <c r="E11" s="145"/>
      <c r="F11" s="145"/>
      <c r="G11" s="145"/>
      <c r="H11" s="145"/>
      <c r="I11" s="145"/>
      <c r="J11" s="271"/>
      <c r="K11" s="272"/>
    </row>
    <row r="12" spans="1:11" ht="15" customHeight="1">
      <c r="A12" s="132"/>
      <c r="B12" s="144"/>
      <c r="C12" s="145"/>
      <c r="D12" s="145"/>
      <c r="E12" s="145"/>
      <c r="F12" s="145"/>
      <c r="G12" s="145"/>
      <c r="H12" s="145"/>
      <c r="I12" s="145"/>
      <c r="J12" s="271"/>
      <c r="K12" s="272"/>
    </row>
    <row r="13" spans="1:11" ht="15" customHeight="1">
      <c r="A13" s="132"/>
      <c r="B13" s="144"/>
      <c r="C13" s="145"/>
      <c r="D13" s="145"/>
      <c r="E13" s="145"/>
      <c r="F13" s="145"/>
      <c r="G13" s="145"/>
      <c r="H13" s="145"/>
      <c r="I13" s="145"/>
      <c r="J13" s="271"/>
      <c r="K13" s="272"/>
    </row>
    <row r="14" spans="1:11" ht="15" customHeight="1">
      <c r="A14" s="132"/>
      <c r="B14" s="144"/>
      <c r="C14" s="145"/>
      <c r="D14" s="145"/>
      <c r="E14" s="145"/>
      <c r="F14" s="145"/>
      <c r="G14" s="145"/>
      <c r="H14" s="145"/>
      <c r="I14" s="145"/>
      <c r="J14" s="271"/>
      <c r="K14" s="272"/>
    </row>
    <row r="15" spans="1:11" ht="15.75">
      <c r="A15" s="132"/>
      <c r="B15" s="144"/>
      <c r="C15" s="564" t="str">
        <f>Text!F80</f>
        <v>Validation</v>
      </c>
      <c r="D15" s="146"/>
      <c r="E15" s="145"/>
      <c r="F15" s="145"/>
      <c r="G15" s="145"/>
      <c r="H15" s="145"/>
      <c r="I15" s="145"/>
      <c r="J15" s="271"/>
      <c r="K15" s="272"/>
    </row>
    <row r="16" spans="1:11" ht="15" customHeight="1">
      <c r="A16" s="132"/>
      <c r="B16" s="144"/>
      <c r="C16" s="145"/>
      <c r="D16" s="145"/>
      <c r="E16" s="145"/>
      <c r="F16" s="145"/>
      <c r="G16" s="145"/>
      <c r="H16" s="145"/>
      <c r="I16" s="145"/>
      <c r="J16" s="271"/>
      <c r="K16" s="272"/>
    </row>
    <row r="17" spans="1:11" ht="15" customHeight="1">
      <c r="A17" s="132"/>
      <c r="B17" s="144"/>
      <c r="C17" s="145"/>
      <c r="D17" s="145"/>
      <c r="E17" s="145"/>
      <c r="F17" s="145"/>
      <c r="G17" s="145"/>
      <c r="H17" s="145"/>
      <c r="I17" s="145"/>
      <c r="J17" s="271"/>
      <c r="K17" s="272"/>
    </row>
    <row r="18" spans="1:11" ht="15" customHeight="1">
      <c r="A18" s="132"/>
      <c r="B18" s="144"/>
      <c r="C18" s="145"/>
      <c r="D18" s="145"/>
      <c r="E18" s="145"/>
      <c r="F18" s="145"/>
      <c r="G18" s="145"/>
      <c r="H18" s="145"/>
      <c r="I18" s="145"/>
      <c r="J18" s="271"/>
      <c r="K18" s="272"/>
    </row>
    <row r="19" spans="1:11" ht="15" customHeight="1">
      <c r="A19" s="132"/>
      <c r="B19" s="144"/>
      <c r="C19" s="145"/>
      <c r="D19" s="145"/>
      <c r="E19" s="145"/>
      <c r="F19" s="145"/>
      <c r="G19" s="145"/>
      <c r="H19" s="145"/>
      <c r="I19" s="145"/>
      <c r="J19" s="271"/>
      <c r="K19" s="272"/>
    </row>
    <row r="20" spans="1:11" ht="15" customHeight="1">
      <c r="A20" s="132"/>
      <c r="B20" s="144"/>
      <c r="C20" s="145"/>
      <c r="D20" s="145"/>
      <c r="E20" s="145"/>
      <c r="F20" s="145"/>
      <c r="G20" s="145"/>
      <c r="H20" s="145"/>
      <c r="I20" s="145"/>
      <c r="J20" s="271"/>
      <c r="K20" s="272"/>
    </row>
    <row r="21" spans="1:11" ht="15" customHeight="1">
      <c r="A21" s="132"/>
      <c r="B21" s="144"/>
      <c r="C21" s="145"/>
      <c r="D21" s="145"/>
      <c r="E21" s="145"/>
      <c r="F21" s="145"/>
      <c r="G21" s="145"/>
      <c r="H21" s="145"/>
      <c r="I21" s="145"/>
      <c r="J21" s="271"/>
      <c r="K21" s="272"/>
    </row>
    <row r="22" spans="1:11" ht="15" customHeight="1">
      <c r="A22" s="132"/>
      <c r="B22" s="144"/>
      <c r="C22" s="145"/>
      <c r="D22" s="145"/>
      <c r="E22" s="145"/>
      <c r="F22" s="145"/>
      <c r="G22" s="145"/>
      <c r="H22" s="145"/>
      <c r="I22" s="145"/>
      <c r="J22" s="271"/>
      <c r="K22" s="272"/>
    </row>
    <row r="23" spans="1:11" ht="15" customHeight="1">
      <c r="A23" s="132"/>
      <c r="B23" s="144"/>
      <c r="C23" s="145"/>
      <c r="D23" s="145"/>
      <c r="E23" s="145"/>
      <c r="F23" s="145"/>
      <c r="G23" s="145"/>
      <c r="H23" s="145"/>
      <c r="I23" s="145"/>
      <c r="J23" s="271"/>
      <c r="K23" s="272"/>
    </row>
    <row r="24" spans="1:11" ht="15.75">
      <c r="A24" s="132"/>
      <c r="B24" s="144"/>
      <c r="C24" s="564" t="str">
        <f>Text!F81</f>
        <v>Documentation</v>
      </c>
      <c r="D24" s="146"/>
      <c r="E24" s="145"/>
      <c r="F24" s="145"/>
      <c r="G24" s="145"/>
      <c r="H24" s="145"/>
      <c r="I24" s="145"/>
      <c r="J24" s="271"/>
      <c r="K24" s="272"/>
    </row>
    <row r="25" spans="1:11" ht="15" customHeight="1">
      <c r="A25" s="132"/>
      <c r="B25" s="144"/>
      <c r="C25" s="145"/>
      <c r="D25" s="145"/>
      <c r="E25" s="145"/>
      <c r="F25" s="145"/>
      <c r="G25" s="145"/>
      <c r="H25" s="145"/>
      <c r="I25" s="145"/>
      <c r="J25" s="271"/>
      <c r="K25" s="272"/>
    </row>
    <row r="26" spans="1:11" ht="15" customHeight="1">
      <c r="A26" s="132"/>
      <c r="B26" s="144"/>
      <c r="C26" s="145"/>
      <c r="D26" s="145"/>
      <c r="E26" s="145"/>
      <c r="F26" s="145"/>
      <c r="G26" s="145"/>
      <c r="H26" s="145"/>
      <c r="I26" s="145"/>
      <c r="J26" s="271"/>
      <c r="K26" s="272"/>
    </row>
    <row r="27" spans="1:11" ht="15" customHeight="1">
      <c r="A27" s="132"/>
      <c r="B27" s="144"/>
      <c r="C27" s="145"/>
      <c r="D27" s="145"/>
      <c r="E27" s="145"/>
      <c r="F27" s="145"/>
      <c r="G27" s="145"/>
      <c r="H27" s="145"/>
      <c r="I27" s="145"/>
      <c r="J27" s="271"/>
      <c r="K27" s="272"/>
    </row>
    <row r="28" spans="1:11" ht="15" customHeight="1">
      <c r="A28" s="132"/>
      <c r="B28" s="144"/>
      <c r="C28" s="145"/>
      <c r="D28" s="145"/>
      <c r="E28" s="145"/>
      <c r="F28" s="145"/>
      <c r="G28" s="145"/>
      <c r="H28" s="145"/>
      <c r="I28" s="145"/>
      <c r="J28" s="271"/>
      <c r="K28" s="272"/>
    </row>
    <row r="29" spans="1:11" ht="15" customHeight="1">
      <c r="A29" s="132"/>
      <c r="B29" s="144"/>
      <c r="C29" s="145"/>
      <c r="D29" s="145"/>
      <c r="E29" s="145"/>
      <c r="F29" s="145"/>
      <c r="G29" s="145"/>
      <c r="H29" s="145"/>
      <c r="I29" s="145"/>
      <c r="J29" s="271"/>
      <c r="K29" s="272"/>
    </row>
    <row r="30" spans="1:11" ht="15" customHeight="1">
      <c r="A30" s="132"/>
      <c r="B30" s="144"/>
      <c r="C30" s="145"/>
      <c r="D30" s="145"/>
      <c r="E30" s="145"/>
      <c r="F30" s="145"/>
      <c r="G30" s="145"/>
      <c r="H30" s="145"/>
      <c r="I30" s="145"/>
      <c r="J30" s="271"/>
      <c r="K30" s="272"/>
    </row>
    <row r="31" spans="1:11" ht="15" customHeight="1">
      <c r="A31" s="132"/>
      <c r="B31" s="144"/>
      <c r="C31" s="145"/>
      <c r="D31" s="145"/>
      <c r="E31" s="145"/>
      <c r="F31" s="145"/>
      <c r="G31" s="145"/>
      <c r="H31" s="145"/>
      <c r="I31" s="145"/>
      <c r="J31" s="271"/>
      <c r="K31" s="272"/>
    </row>
    <row r="32" spans="1:11" ht="15" customHeight="1">
      <c r="A32" s="132"/>
      <c r="B32" s="144"/>
      <c r="C32" s="145"/>
      <c r="D32" s="145"/>
      <c r="E32" s="145"/>
      <c r="F32" s="145"/>
      <c r="G32" s="145"/>
      <c r="H32" s="145"/>
      <c r="I32" s="145"/>
      <c r="J32" s="271"/>
      <c r="K32" s="272"/>
    </row>
    <row r="33" spans="1:11" ht="15.75">
      <c r="A33" s="132"/>
      <c r="B33" s="144"/>
      <c r="C33" s="564" t="str">
        <f>Text!F82</f>
        <v>General comments</v>
      </c>
      <c r="D33" s="146"/>
      <c r="E33" s="145"/>
      <c r="F33" s="145"/>
      <c r="G33" s="145"/>
      <c r="H33" s="145"/>
      <c r="I33" s="145"/>
      <c r="J33" s="271"/>
      <c r="K33" s="272"/>
    </row>
    <row r="34" spans="1:11" ht="15" customHeight="1">
      <c r="A34" s="132"/>
      <c r="B34" s="144"/>
      <c r="C34" s="145"/>
      <c r="D34" s="145"/>
      <c r="E34" s="145"/>
      <c r="F34" s="145"/>
      <c r="G34" s="145"/>
      <c r="H34" s="145"/>
      <c r="I34" s="145"/>
      <c r="J34" s="271"/>
      <c r="K34" s="272"/>
    </row>
    <row r="35" spans="1:11" ht="15" customHeight="1">
      <c r="A35" s="132"/>
      <c r="B35" s="144"/>
      <c r="C35" s="145"/>
      <c r="D35" s="145"/>
      <c r="E35" s="145"/>
      <c r="F35" s="145"/>
      <c r="G35" s="145"/>
      <c r="H35" s="145"/>
      <c r="I35" s="145"/>
      <c r="J35" s="271"/>
      <c r="K35" s="272"/>
    </row>
    <row r="36" spans="1:11" ht="15" customHeight="1">
      <c r="A36" s="132"/>
      <c r="B36" s="144"/>
      <c r="C36" s="145"/>
      <c r="D36" s="145"/>
      <c r="E36" s="145"/>
      <c r="F36" s="145"/>
      <c r="G36" s="145"/>
      <c r="H36" s="145"/>
      <c r="I36" s="145"/>
      <c r="J36" s="271"/>
      <c r="K36" s="272"/>
    </row>
    <row r="37" spans="1:11" ht="15" customHeight="1">
      <c r="A37" s="132"/>
      <c r="B37" s="144"/>
      <c r="C37" s="145"/>
      <c r="D37" s="145"/>
      <c r="E37" s="145"/>
      <c r="F37" s="145"/>
      <c r="G37" s="145"/>
      <c r="H37" s="145"/>
      <c r="I37" s="145"/>
      <c r="J37" s="271"/>
      <c r="K37" s="272"/>
    </row>
    <row r="38" spans="1:11" ht="15" customHeight="1">
      <c r="A38" s="132"/>
      <c r="B38" s="144"/>
      <c r="C38" s="145"/>
      <c r="D38" s="145"/>
      <c r="E38" s="145"/>
      <c r="F38" s="145"/>
      <c r="G38" s="145"/>
      <c r="H38" s="145"/>
      <c r="I38" s="145"/>
      <c r="J38" s="271"/>
      <c r="K38" s="272"/>
    </row>
    <row r="39" spans="1:11" ht="15" customHeight="1">
      <c r="A39" s="132"/>
      <c r="B39" s="144"/>
      <c r="C39" s="145"/>
      <c r="D39" s="145"/>
      <c r="E39" s="145"/>
      <c r="F39" s="145"/>
      <c r="G39" s="145"/>
      <c r="H39" s="145"/>
      <c r="I39" s="145"/>
      <c r="J39" s="271"/>
      <c r="K39" s="272"/>
    </row>
    <row r="40" spans="1:11" ht="15" customHeight="1">
      <c r="A40" s="132"/>
      <c r="B40" s="144"/>
      <c r="C40" s="145"/>
      <c r="D40" s="145"/>
      <c r="E40" s="145"/>
      <c r="F40" s="145"/>
      <c r="G40" s="145"/>
      <c r="H40" s="145"/>
      <c r="I40" s="145"/>
      <c r="J40" s="271"/>
      <c r="K40" s="272"/>
    </row>
    <row r="41" spans="1:11">
      <c r="A41" s="132"/>
      <c r="B41" s="147"/>
      <c r="C41" s="148"/>
      <c r="D41" s="148"/>
      <c r="E41" s="148"/>
      <c r="F41" s="148"/>
      <c r="G41" s="148"/>
      <c r="H41" s="148"/>
      <c r="I41" s="148"/>
      <c r="J41" s="273"/>
      <c r="K41" s="274"/>
    </row>
  </sheetData>
  <sheetProtection sheet="1" objects="1" scenarios="1"/>
  <pageMargins left="0.78740157480314965" right="0.78740157480314965" top="0.78740157480314965" bottom="0.78740157480314965" header="0.51181102362204722" footer="0.51181102362204722"/>
  <pageSetup paperSize="9" scale="8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2">
    <tabColor rgb="FFFFCC99"/>
  </sheetPr>
  <dimension ref="A1:AC101"/>
  <sheetViews>
    <sheetView topLeftCell="B1" workbookViewId="0">
      <selection activeCell="Z4" sqref="Z4"/>
    </sheetView>
  </sheetViews>
  <sheetFormatPr defaultColWidth="8.88671875" defaultRowHeight="11.25"/>
  <cols>
    <col min="1" max="1" width="3.88671875" style="2" hidden="1" customWidth="1"/>
    <col min="2" max="2" width="7.109375" style="2" customWidth="1"/>
    <col min="3" max="3" width="6.21875" style="2" bestFit="1" customWidth="1"/>
    <col min="4" max="4" width="5.6640625" style="2" bestFit="1" customWidth="1"/>
    <col min="5" max="5" width="7.77734375" style="2" bestFit="1" customWidth="1"/>
    <col min="6" max="6" width="7.109375" style="2" bestFit="1" customWidth="1"/>
    <col min="7" max="7" width="9.5546875" style="2" customWidth="1"/>
    <col min="8" max="8" width="11.21875" style="2" customWidth="1"/>
    <col min="9" max="9" width="8.109375" style="2" bestFit="1" customWidth="1"/>
    <col min="10" max="11" width="8.88671875" style="2"/>
    <col min="12" max="12" width="3.77734375" style="2" bestFit="1" customWidth="1"/>
    <col min="13" max="13" width="8" style="2" customWidth="1"/>
    <col min="14" max="14" width="6" style="2" customWidth="1"/>
    <col min="15" max="15" width="4.109375" style="2" customWidth="1"/>
    <col min="16" max="16" width="4.21875" style="2" customWidth="1"/>
    <col min="17" max="17" width="6.44140625" style="2" customWidth="1"/>
    <col min="18" max="18" width="8" style="2" customWidth="1"/>
    <col min="19" max="19" width="2.88671875" style="2" customWidth="1"/>
    <col min="20" max="23" width="4.6640625" style="2" customWidth="1"/>
    <col min="24" max="24" width="8.109375" style="2" bestFit="1" customWidth="1"/>
    <col min="25" max="26" width="8.88671875" style="2"/>
    <col min="27" max="27" width="6.77734375" style="2" bestFit="1" customWidth="1"/>
    <col min="28" max="16384" width="8.88671875" style="2"/>
  </cols>
  <sheetData>
    <row r="1" spans="1:29">
      <c r="M1" s="2" t="s">
        <v>3481</v>
      </c>
    </row>
    <row r="2" spans="1:29">
      <c r="A2" s="2" t="s">
        <v>3480</v>
      </c>
      <c r="B2" s="2" t="s">
        <v>56</v>
      </c>
      <c r="C2" s="2" t="s">
        <v>49</v>
      </c>
      <c r="D2" s="2" t="s">
        <v>50</v>
      </c>
      <c r="E2" s="2" t="s">
        <v>51</v>
      </c>
      <c r="F2" s="2" t="s">
        <v>55</v>
      </c>
      <c r="G2" s="2" t="s">
        <v>14</v>
      </c>
      <c r="J2" s="2">
        <v>1</v>
      </c>
      <c r="K2" s="2" t="s">
        <v>114</v>
      </c>
      <c r="L2" s="13" t="s">
        <v>227</v>
      </c>
      <c r="M2" s="14" t="s">
        <v>56</v>
      </c>
      <c r="N2" s="14" t="s">
        <v>49</v>
      </c>
      <c r="O2" s="14" t="s">
        <v>50</v>
      </c>
      <c r="P2" s="14" t="s">
        <v>51</v>
      </c>
      <c r="Q2" s="14" t="s">
        <v>55</v>
      </c>
      <c r="R2" s="14" t="s">
        <v>14</v>
      </c>
      <c r="S2" s="15"/>
      <c r="T2" s="243" t="s">
        <v>229</v>
      </c>
      <c r="U2" s="243" t="s">
        <v>230</v>
      </c>
      <c r="V2" s="243" t="s">
        <v>231</v>
      </c>
      <c r="W2" s="243" t="s">
        <v>232</v>
      </c>
      <c r="X2" s="243" t="s">
        <v>14</v>
      </c>
      <c r="Z2" s="16" t="s">
        <v>235</v>
      </c>
      <c r="AA2" s="17"/>
      <c r="AB2" s="17"/>
      <c r="AC2" s="17"/>
    </row>
    <row r="3" spans="1:29">
      <c r="A3" s="2">
        <f>FrontPage!$N$2</f>
        <v>1</v>
      </c>
      <c r="B3" s="305">
        <f t="shared" ref="B3:B33" si="0">Year</f>
        <v>202425</v>
      </c>
      <c r="C3" s="2" t="s">
        <v>29</v>
      </c>
      <c r="D3" s="3">
        <v>1</v>
      </c>
      <c r="E3" s="2">
        <v>1</v>
      </c>
      <c r="F3" s="2">
        <f>UANumber</f>
        <v>0</v>
      </c>
      <c r="G3" s="4">
        <f>IF('BR2'!G17="",0,'BR2'!G17)</f>
        <v>0</v>
      </c>
      <c r="H3" s="2">
        <v>5.0299999999999997E-3</v>
      </c>
      <c r="I3" s="2">
        <f>IF(G3= "",0,G3*H3)</f>
        <v>0</v>
      </c>
      <c r="J3" s="2">
        <v>2</v>
      </c>
      <c r="K3" s="2" t="s">
        <v>115</v>
      </c>
      <c r="M3" s="2">
        <v>202324</v>
      </c>
      <c r="N3" s="2" t="s">
        <v>29</v>
      </c>
      <c r="O3" s="2">
        <v>1</v>
      </c>
      <c r="P3" s="2">
        <v>1</v>
      </c>
      <c r="Q3" s="2">
        <v>562</v>
      </c>
      <c r="R3" s="2">
        <v>5</v>
      </c>
      <c r="S3" s="18"/>
      <c r="T3" s="2">
        <f t="shared" ref="T3:T33" si="1">M3-B3</f>
        <v>-101</v>
      </c>
      <c r="U3" s="2">
        <f t="shared" ref="U3:U33" si="2">O3-D3</f>
        <v>0</v>
      </c>
      <c r="V3" s="2">
        <f t="shared" ref="V3:V33" si="3">P3-E3</f>
        <v>0</v>
      </c>
      <c r="W3" s="2">
        <f t="shared" ref="W3:W33" si="4">Q3-F3</f>
        <v>562</v>
      </c>
      <c r="X3" s="2">
        <f t="shared" ref="X3:X33" si="5">R3-G3</f>
        <v>5</v>
      </c>
      <c r="Z3" s="17" t="s">
        <v>233</v>
      </c>
      <c r="AA3" s="17"/>
      <c r="AB3" s="17"/>
      <c r="AC3" s="17"/>
    </row>
    <row r="4" spans="1:29">
      <c r="A4" s="2">
        <f>FrontPage!$N$2</f>
        <v>1</v>
      </c>
      <c r="B4" s="305">
        <f t="shared" si="0"/>
        <v>202425</v>
      </c>
      <c r="C4" s="2" t="s">
        <v>29</v>
      </c>
      <c r="D4" s="2">
        <v>2</v>
      </c>
      <c r="E4" s="2">
        <v>1</v>
      </c>
      <c r="F4" s="2">
        <f t="shared" ref="F4:F33" si="6">UANumber</f>
        <v>0</v>
      </c>
      <c r="G4" s="4">
        <f>IF('BR2'!G18="",0,'BR2'!G18)</f>
        <v>0</v>
      </c>
      <c r="H4" s="2">
        <v>0.43580000000000002</v>
      </c>
      <c r="I4" s="2">
        <f>IF(G4= "",0,G4*H4)</f>
        <v>0</v>
      </c>
      <c r="J4" s="2">
        <v>3</v>
      </c>
      <c r="K4" s="2" t="s">
        <v>116</v>
      </c>
      <c r="M4" s="2">
        <v>202324</v>
      </c>
      <c r="N4" s="2" t="s">
        <v>29</v>
      </c>
      <c r="O4" s="2">
        <v>2</v>
      </c>
      <c r="P4" s="2">
        <v>1</v>
      </c>
      <c r="Q4" s="2">
        <v>562</v>
      </c>
      <c r="R4" s="2">
        <v>9212574</v>
      </c>
      <c r="S4" s="18"/>
      <c r="T4" s="2">
        <f t="shared" si="1"/>
        <v>-101</v>
      </c>
      <c r="U4" s="2">
        <f t="shared" si="2"/>
        <v>0</v>
      </c>
      <c r="V4" s="2">
        <f t="shared" si="3"/>
        <v>0</v>
      </c>
      <c r="W4" s="2">
        <f t="shared" si="4"/>
        <v>562</v>
      </c>
      <c r="X4" s="2">
        <f t="shared" si="5"/>
        <v>9212574</v>
      </c>
      <c r="Z4" s="17" t="s">
        <v>234</v>
      </c>
      <c r="AA4" s="17"/>
      <c r="AB4" s="17"/>
      <c r="AC4" s="17"/>
    </row>
    <row r="5" spans="1:29">
      <c r="A5" s="2">
        <f>FrontPage!$N$2</f>
        <v>1</v>
      </c>
      <c r="B5" s="305">
        <f t="shared" si="0"/>
        <v>202425</v>
      </c>
      <c r="C5" s="2" t="s">
        <v>29</v>
      </c>
      <c r="D5" s="2">
        <v>3</v>
      </c>
      <c r="E5" s="2">
        <v>1</v>
      </c>
      <c r="F5" s="2">
        <f t="shared" si="6"/>
        <v>0</v>
      </c>
      <c r="G5" s="4">
        <f>IF('BR2'!G19="",0,'BR2'!G19)</f>
        <v>0</v>
      </c>
      <c r="H5" s="2">
        <v>0.91447999999999996</v>
      </c>
      <c r="I5" s="2">
        <f t="shared" ref="I5:I26" si="7">IF(G5= "",0,G5*H5)</f>
        <v>0</v>
      </c>
      <c r="J5" s="2">
        <v>4</v>
      </c>
      <c r="K5" s="2" t="s">
        <v>117</v>
      </c>
      <c r="M5" s="2">
        <v>202324</v>
      </c>
      <c r="N5" s="2" t="s">
        <v>29</v>
      </c>
      <c r="O5" s="2">
        <v>3</v>
      </c>
      <c r="P5" s="2">
        <v>1</v>
      </c>
      <c r="Q5" s="2">
        <v>562</v>
      </c>
      <c r="R5" s="2">
        <v>3817702</v>
      </c>
      <c r="S5" s="18"/>
      <c r="T5" s="2">
        <f t="shared" si="1"/>
        <v>-101</v>
      </c>
      <c r="U5" s="2">
        <f t="shared" si="2"/>
        <v>0</v>
      </c>
      <c r="V5" s="2">
        <f t="shared" si="3"/>
        <v>0</v>
      </c>
      <c r="W5" s="2">
        <f t="shared" si="4"/>
        <v>562</v>
      </c>
      <c r="X5" s="2">
        <f t="shared" si="5"/>
        <v>3817702</v>
      </c>
    </row>
    <row r="6" spans="1:29">
      <c r="A6" s="2">
        <f>FrontPage!$N$2</f>
        <v>1</v>
      </c>
      <c r="B6" s="305">
        <f t="shared" si="0"/>
        <v>202425</v>
      </c>
      <c r="C6" s="2" t="s">
        <v>29</v>
      </c>
      <c r="D6" s="2">
        <v>4</v>
      </c>
      <c r="E6" s="2">
        <v>1</v>
      </c>
      <c r="F6" s="2">
        <f t="shared" si="6"/>
        <v>0</v>
      </c>
      <c r="G6" s="4">
        <f>IF('BR2'!G20="",0,'BR2'!G20)</f>
        <v>0</v>
      </c>
      <c r="H6" s="2">
        <v>0.90025999999999995</v>
      </c>
      <c r="I6" s="2">
        <f t="shared" si="7"/>
        <v>0</v>
      </c>
      <c r="J6" s="2">
        <v>5</v>
      </c>
      <c r="K6" s="2" t="s">
        <v>7</v>
      </c>
      <c r="M6" s="2">
        <v>202324</v>
      </c>
      <c r="N6" s="2" t="s">
        <v>29</v>
      </c>
      <c r="O6" s="2">
        <v>4</v>
      </c>
      <c r="P6" s="2">
        <v>1</v>
      </c>
      <c r="Q6" s="2">
        <v>562</v>
      </c>
      <c r="R6" s="2">
        <v>44497000</v>
      </c>
      <c r="S6" s="18"/>
      <c r="T6" s="2">
        <f t="shared" si="1"/>
        <v>-101</v>
      </c>
      <c r="U6" s="2">
        <f t="shared" si="2"/>
        <v>0</v>
      </c>
      <c r="V6" s="2">
        <f t="shared" si="3"/>
        <v>0</v>
      </c>
      <c r="W6" s="2">
        <f t="shared" si="4"/>
        <v>562</v>
      </c>
      <c r="X6" s="2">
        <f t="shared" si="5"/>
        <v>44497000</v>
      </c>
    </row>
    <row r="7" spans="1:29">
      <c r="A7" s="2">
        <f>FrontPage!$N$2</f>
        <v>1</v>
      </c>
      <c r="B7" s="305">
        <f t="shared" si="0"/>
        <v>202425</v>
      </c>
      <c r="C7" s="2" t="s">
        <v>29</v>
      </c>
      <c r="D7" s="2">
        <v>5</v>
      </c>
      <c r="E7" s="2">
        <v>1</v>
      </c>
      <c r="F7" s="2">
        <f t="shared" si="6"/>
        <v>0</v>
      </c>
      <c r="G7" s="4">
        <f>IF('BR2'!G21="",0,'BR2'!G21)</f>
        <v>0</v>
      </c>
      <c r="H7" s="2">
        <v>0.71709999999999996</v>
      </c>
      <c r="I7" s="2">
        <f t="shared" si="7"/>
        <v>0</v>
      </c>
      <c r="J7" s="2">
        <v>6</v>
      </c>
      <c r="K7" s="2" t="s">
        <v>118</v>
      </c>
      <c r="M7" s="2">
        <v>202324</v>
      </c>
      <c r="N7" s="2" t="s">
        <v>29</v>
      </c>
      <c r="O7" s="2">
        <v>5</v>
      </c>
      <c r="P7" s="2">
        <v>1</v>
      </c>
      <c r="Q7" s="2">
        <v>562</v>
      </c>
      <c r="R7" s="2">
        <v>57527276</v>
      </c>
      <c r="S7" s="18"/>
      <c r="T7" s="2">
        <f t="shared" si="1"/>
        <v>-101</v>
      </c>
      <c r="U7" s="2">
        <f t="shared" si="2"/>
        <v>0</v>
      </c>
      <c r="V7" s="2">
        <f t="shared" si="3"/>
        <v>0</v>
      </c>
      <c r="W7" s="2">
        <f t="shared" si="4"/>
        <v>562</v>
      </c>
      <c r="X7" s="2">
        <f t="shared" si="5"/>
        <v>57527276</v>
      </c>
      <c r="Z7" s="239" t="s">
        <v>3324</v>
      </c>
      <c r="AA7" s="239" t="s">
        <v>3315</v>
      </c>
    </row>
    <row r="8" spans="1:29">
      <c r="A8" s="2">
        <f>FrontPage!$N$2</f>
        <v>1</v>
      </c>
      <c r="B8" s="305">
        <f t="shared" si="0"/>
        <v>202425</v>
      </c>
      <c r="C8" s="2" t="s">
        <v>29</v>
      </c>
      <c r="D8" s="2">
        <v>6</v>
      </c>
      <c r="E8" s="2">
        <v>1</v>
      </c>
      <c r="F8" s="2">
        <f t="shared" si="6"/>
        <v>0</v>
      </c>
      <c r="G8" s="4">
        <f>IF('BR2'!G22="",0,'BR2'!G22)</f>
        <v>0</v>
      </c>
      <c r="H8" s="2">
        <v>0.89215</v>
      </c>
      <c r="I8" s="2">
        <f t="shared" si="7"/>
        <v>0</v>
      </c>
      <c r="J8" s="2">
        <v>7</v>
      </c>
      <c r="K8" s="2" t="s">
        <v>119</v>
      </c>
      <c r="M8" s="2">
        <v>202324</v>
      </c>
      <c r="N8" s="2" t="s">
        <v>29</v>
      </c>
      <c r="O8" s="2">
        <v>6</v>
      </c>
      <c r="P8" s="2">
        <v>1</v>
      </c>
      <c r="Q8" s="2">
        <v>562</v>
      </c>
      <c r="R8" s="2">
        <v>-57527271</v>
      </c>
      <c r="S8" s="18"/>
      <c r="T8" s="2">
        <f t="shared" si="1"/>
        <v>-101</v>
      </c>
      <c r="U8" s="2">
        <f t="shared" si="2"/>
        <v>0</v>
      </c>
      <c r="V8" s="2">
        <f t="shared" si="3"/>
        <v>0</v>
      </c>
      <c r="W8" s="2">
        <f t="shared" si="4"/>
        <v>562</v>
      </c>
      <c r="X8" s="2">
        <f t="shared" si="5"/>
        <v>-57527271</v>
      </c>
      <c r="Z8" s="240" t="s">
        <v>3325</v>
      </c>
      <c r="AA8" s="241"/>
    </row>
    <row r="9" spans="1:29">
      <c r="A9" s="2">
        <f>FrontPage!$N$2</f>
        <v>1</v>
      </c>
      <c r="B9" s="305">
        <f t="shared" si="0"/>
        <v>202425</v>
      </c>
      <c r="C9" s="2" t="s">
        <v>29</v>
      </c>
      <c r="D9" s="2">
        <v>7</v>
      </c>
      <c r="E9" s="2">
        <v>1</v>
      </c>
      <c r="F9" s="2">
        <f t="shared" si="6"/>
        <v>0</v>
      </c>
      <c r="G9" s="4">
        <f>IF('BR2'!G24="",0,'BR2'!G24)</f>
        <v>0</v>
      </c>
      <c r="H9" s="2">
        <v>0.11462</v>
      </c>
      <c r="I9" s="2">
        <f t="shared" si="7"/>
        <v>0</v>
      </c>
      <c r="J9" s="2">
        <v>8</v>
      </c>
      <c r="K9" s="2" t="s">
        <v>120</v>
      </c>
      <c r="M9" s="2">
        <v>202324</v>
      </c>
      <c r="N9" s="2" t="s">
        <v>29</v>
      </c>
      <c r="O9" s="2">
        <v>7</v>
      </c>
      <c r="P9" s="2">
        <v>1</v>
      </c>
      <c r="Q9" s="2">
        <v>562</v>
      </c>
      <c r="R9" s="2">
        <v>123</v>
      </c>
      <c r="S9" s="18"/>
      <c r="T9" s="2">
        <f t="shared" si="1"/>
        <v>-101</v>
      </c>
      <c r="U9" s="2">
        <f t="shared" si="2"/>
        <v>0</v>
      </c>
      <c r="V9" s="2">
        <f t="shared" si="3"/>
        <v>0</v>
      </c>
      <c r="W9" s="2">
        <f t="shared" si="4"/>
        <v>562</v>
      </c>
      <c r="X9" s="2">
        <f t="shared" si="5"/>
        <v>123</v>
      </c>
    </row>
    <row r="10" spans="1:29">
      <c r="A10" s="2">
        <f>FrontPage!$N$2</f>
        <v>1</v>
      </c>
      <c r="B10" s="305">
        <f t="shared" si="0"/>
        <v>202425</v>
      </c>
      <c r="C10" s="2" t="s">
        <v>29</v>
      </c>
      <c r="D10" s="2">
        <v>8</v>
      </c>
      <c r="E10" s="2">
        <v>1</v>
      </c>
      <c r="F10" s="2">
        <f t="shared" si="6"/>
        <v>0</v>
      </c>
      <c r="G10" s="4">
        <f>IF('BR2'!G25="",0,'BR2'!G25)</f>
        <v>0</v>
      </c>
      <c r="H10" s="2">
        <v>0.55796999999999997</v>
      </c>
      <c r="I10" s="2">
        <f t="shared" si="7"/>
        <v>0</v>
      </c>
      <c r="J10" s="2">
        <v>9</v>
      </c>
      <c r="K10" s="2" t="s">
        <v>121</v>
      </c>
      <c r="M10" s="2">
        <v>202324</v>
      </c>
      <c r="N10" s="2" t="s">
        <v>29</v>
      </c>
      <c r="O10" s="2">
        <v>8</v>
      </c>
      <c r="P10" s="2">
        <v>1</v>
      </c>
      <c r="Q10" s="2">
        <v>562</v>
      </c>
      <c r="R10" s="2">
        <v>-467701.39</v>
      </c>
      <c r="S10" s="18"/>
      <c r="T10" s="2">
        <f t="shared" si="1"/>
        <v>-101</v>
      </c>
      <c r="U10" s="2">
        <f t="shared" si="2"/>
        <v>0</v>
      </c>
      <c r="V10" s="2">
        <f t="shared" si="3"/>
        <v>0</v>
      </c>
      <c r="W10" s="2">
        <f t="shared" si="4"/>
        <v>562</v>
      </c>
      <c r="X10" s="2">
        <f t="shared" si="5"/>
        <v>-467701.39</v>
      </c>
    </row>
    <row r="11" spans="1:29">
      <c r="A11" s="2">
        <f>FrontPage!$N$2</f>
        <v>1</v>
      </c>
      <c r="B11" s="305">
        <f t="shared" si="0"/>
        <v>202425</v>
      </c>
      <c r="C11" s="2" t="s">
        <v>29</v>
      </c>
      <c r="D11" s="2">
        <v>11</v>
      </c>
      <c r="E11" s="2">
        <v>3</v>
      </c>
      <c r="F11" s="2">
        <f t="shared" si="6"/>
        <v>0</v>
      </c>
      <c r="G11" s="4">
        <f>IF('BR2'!F30="",0,'BR2'!F30)</f>
        <v>0</v>
      </c>
      <c r="H11" s="2">
        <v>6.5490000000000007E-2</v>
      </c>
      <c r="I11" s="2">
        <f t="shared" si="7"/>
        <v>0</v>
      </c>
      <c r="J11" s="2">
        <v>10</v>
      </c>
      <c r="K11" s="2" t="s">
        <v>122</v>
      </c>
      <c r="M11" s="2">
        <v>202324</v>
      </c>
      <c r="N11" s="2" t="s">
        <v>29</v>
      </c>
      <c r="O11" s="2">
        <v>11</v>
      </c>
      <c r="P11" s="2">
        <v>3</v>
      </c>
      <c r="Q11" s="2">
        <v>562</v>
      </c>
      <c r="R11" s="2">
        <v>64256.51</v>
      </c>
      <c r="S11" s="18"/>
      <c r="T11" s="2">
        <f t="shared" si="1"/>
        <v>-101</v>
      </c>
      <c r="U11" s="2">
        <f t="shared" si="2"/>
        <v>0</v>
      </c>
      <c r="V11" s="2">
        <f t="shared" si="3"/>
        <v>0</v>
      </c>
      <c r="W11" s="2">
        <f t="shared" si="4"/>
        <v>562</v>
      </c>
      <c r="X11" s="2">
        <f t="shared" si="5"/>
        <v>64256.51</v>
      </c>
    </row>
    <row r="12" spans="1:29">
      <c r="A12" s="2">
        <f>FrontPage!$N$2</f>
        <v>1</v>
      </c>
      <c r="B12" s="305">
        <f t="shared" si="0"/>
        <v>202425</v>
      </c>
      <c r="C12" s="2" t="s">
        <v>29</v>
      </c>
      <c r="D12" s="2">
        <v>12</v>
      </c>
      <c r="E12" s="2">
        <v>3</v>
      </c>
      <c r="F12" s="2">
        <f t="shared" si="6"/>
        <v>0</v>
      </c>
      <c r="G12" s="4">
        <f>IF('BR2'!F31="",0,'BR2'!F31)</f>
        <v>0</v>
      </c>
      <c r="H12" s="2">
        <v>0.44879000000000002</v>
      </c>
      <c r="I12" s="2">
        <f t="shared" si="7"/>
        <v>0</v>
      </c>
      <c r="J12" s="2">
        <v>11</v>
      </c>
      <c r="K12" s="2" t="s">
        <v>123</v>
      </c>
      <c r="M12" s="2">
        <v>202324</v>
      </c>
      <c r="N12" s="2" t="s">
        <v>29</v>
      </c>
      <c r="O12" s="2">
        <v>12</v>
      </c>
      <c r="P12" s="2">
        <v>3</v>
      </c>
      <c r="Q12" s="2">
        <v>562</v>
      </c>
      <c r="R12" s="2">
        <v>32767.99</v>
      </c>
      <c r="S12" s="18"/>
      <c r="T12" s="2">
        <f t="shared" si="1"/>
        <v>-101</v>
      </c>
      <c r="U12" s="2">
        <f t="shared" si="2"/>
        <v>0</v>
      </c>
      <c r="V12" s="2">
        <f t="shared" si="3"/>
        <v>0</v>
      </c>
      <c r="W12" s="2">
        <f t="shared" si="4"/>
        <v>562</v>
      </c>
      <c r="X12" s="2">
        <f t="shared" si="5"/>
        <v>32767.99</v>
      </c>
    </row>
    <row r="13" spans="1:29">
      <c r="A13" s="2">
        <f>FrontPage!$N$2</f>
        <v>1</v>
      </c>
      <c r="B13" s="305">
        <f t="shared" si="0"/>
        <v>202425</v>
      </c>
      <c r="C13" s="2" t="s">
        <v>29</v>
      </c>
      <c r="D13" s="2">
        <v>13</v>
      </c>
      <c r="E13" s="2">
        <v>3</v>
      </c>
      <c r="F13" s="2">
        <f t="shared" si="6"/>
        <v>0</v>
      </c>
      <c r="G13" s="4">
        <f>IF('BR2'!F32="",0,'BR2'!F32)</f>
        <v>0</v>
      </c>
      <c r="H13" s="2">
        <v>0.42997999999999997</v>
      </c>
      <c r="I13" s="2">
        <f t="shared" si="7"/>
        <v>0</v>
      </c>
      <c r="J13" s="2">
        <v>12</v>
      </c>
      <c r="K13" s="2" t="s">
        <v>124</v>
      </c>
      <c r="M13" s="2">
        <v>202324</v>
      </c>
      <c r="N13" s="2" t="s">
        <v>29</v>
      </c>
      <c r="O13" s="2">
        <v>13</v>
      </c>
      <c r="P13" s="2">
        <v>3</v>
      </c>
      <c r="Q13" s="2">
        <v>562</v>
      </c>
      <c r="R13" s="2">
        <v>59851.19</v>
      </c>
      <c r="S13" s="18"/>
      <c r="T13" s="2">
        <f t="shared" si="1"/>
        <v>-101</v>
      </c>
      <c r="U13" s="2">
        <f t="shared" si="2"/>
        <v>0</v>
      </c>
      <c r="V13" s="2">
        <f t="shared" si="3"/>
        <v>0</v>
      </c>
      <c r="W13" s="2">
        <f t="shared" si="4"/>
        <v>562</v>
      </c>
      <c r="X13" s="2">
        <f t="shared" si="5"/>
        <v>59851.19</v>
      </c>
    </row>
    <row r="14" spans="1:29">
      <c r="A14" s="2">
        <f>FrontPage!$N$2</f>
        <v>1</v>
      </c>
      <c r="B14" s="305">
        <f t="shared" si="0"/>
        <v>202425</v>
      </c>
      <c r="C14" s="2" t="s">
        <v>29</v>
      </c>
      <c r="D14" s="2">
        <v>14</v>
      </c>
      <c r="E14" s="2">
        <v>3</v>
      </c>
      <c r="F14" s="2">
        <f t="shared" si="6"/>
        <v>0</v>
      </c>
      <c r="G14" s="4">
        <f>IF('BR2'!F33="",0,'BR2'!F33)</f>
        <v>0</v>
      </c>
      <c r="H14" s="2">
        <v>0.87517</v>
      </c>
      <c r="I14" s="2">
        <f t="shared" si="7"/>
        <v>0</v>
      </c>
      <c r="J14" s="2">
        <v>13</v>
      </c>
      <c r="K14" s="2" t="s">
        <v>125</v>
      </c>
      <c r="M14" s="2">
        <v>202324</v>
      </c>
      <c r="N14" s="2" t="s">
        <v>29</v>
      </c>
      <c r="O14" s="2">
        <v>14</v>
      </c>
      <c r="P14" s="2">
        <v>3</v>
      </c>
      <c r="Q14" s="2">
        <v>562</v>
      </c>
      <c r="R14" s="2">
        <v>75071.95</v>
      </c>
      <c r="S14" s="18"/>
      <c r="T14" s="2">
        <f t="shared" si="1"/>
        <v>-101</v>
      </c>
      <c r="U14" s="2">
        <f t="shared" si="2"/>
        <v>0</v>
      </c>
      <c r="V14" s="2">
        <f t="shared" si="3"/>
        <v>0</v>
      </c>
      <c r="W14" s="2">
        <f t="shared" si="4"/>
        <v>562</v>
      </c>
      <c r="X14" s="2">
        <f t="shared" si="5"/>
        <v>75071.95</v>
      </c>
    </row>
    <row r="15" spans="1:29">
      <c r="A15" s="2">
        <f>FrontPage!$N$2</f>
        <v>1</v>
      </c>
      <c r="B15" s="305">
        <f t="shared" si="0"/>
        <v>202425</v>
      </c>
      <c r="C15" s="2" t="s">
        <v>29</v>
      </c>
      <c r="D15" s="2">
        <v>15</v>
      </c>
      <c r="E15" s="2">
        <v>3</v>
      </c>
      <c r="F15" s="2">
        <f t="shared" si="6"/>
        <v>0</v>
      </c>
      <c r="G15" s="4">
        <f>IF('BR2'!F34="",0,'BR2'!F34)</f>
        <v>0</v>
      </c>
      <c r="H15" s="2">
        <v>0.55191999999999997</v>
      </c>
      <c r="I15" s="2">
        <f t="shared" si="7"/>
        <v>0</v>
      </c>
      <c r="J15" s="2">
        <v>14</v>
      </c>
      <c r="K15" s="2" t="s">
        <v>126</v>
      </c>
      <c r="M15" s="2">
        <v>202324</v>
      </c>
      <c r="N15" s="2" t="s">
        <v>29</v>
      </c>
      <c r="O15" s="2">
        <v>15</v>
      </c>
      <c r="P15" s="2">
        <v>3</v>
      </c>
      <c r="Q15" s="2">
        <v>562</v>
      </c>
      <c r="R15" s="2">
        <v>0</v>
      </c>
      <c r="S15" s="18"/>
      <c r="T15" s="2">
        <f t="shared" si="1"/>
        <v>-101</v>
      </c>
      <c r="U15" s="2">
        <f t="shared" si="2"/>
        <v>0</v>
      </c>
      <c r="V15" s="2">
        <f t="shared" si="3"/>
        <v>0</v>
      </c>
      <c r="W15" s="2">
        <f t="shared" si="4"/>
        <v>562</v>
      </c>
      <c r="X15" s="2">
        <f t="shared" si="5"/>
        <v>0</v>
      </c>
    </row>
    <row r="16" spans="1:29">
      <c r="A16" s="2">
        <f>FrontPage!$N$2</f>
        <v>1</v>
      </c>
      <c r="B16" s="305">
        <f t="shared" si="0"/>
        <v>202425</v>
      </c>
      <c r="C16" s="2" t="s">
        <v>29</v>
      </c>
      <c r="D16" s="2">
        <v>16</v>
      </c>
      <c r="E16" s="2">
        <v>3</v>
      </c>
      <c r="F16" s="2">
        <f t="shared" si="6"/>
        <v>0</v>
      </c>
      <c r="G16" s="4">
        <f>IF('BR2'!F35="",0,'BR2'!F35)</f>
        <v>0</v>
      </c>
      <c r="H16" s="2">
        <v>0.51602999999999999</v>
      </c>
      <c r="I16" s="2">
        <f t="shared" si="7"/>
        <v>0</v>
      </c>
      <c r="J16" s="2">
        <v>15</v>
      </c>
      <c r="K16" s="2" t="s">
        <v>127</v>
      </c>
      <c r="M16" s="2">
        <v>202324</v>
      </c>
      <c r="N16" s="2" t="s">
        <v>29</v>
      </c>
      <c r="O16" s="2">
        <v>16</v>
      </c>
      <c r="P16" s="2">
        <v>3</v>
      </c>
      <c r="Q16" s="2">
        <v>562</v>
      </c>
      <c r="R16" s="2">
        <v>0</v>
      </c>
      <c r="S16" s="18"/>
      <c r="T16" s="2">
        <f t="shared" si="1"/>
        <v>-101</v>
      </c>
      <c r="U16" s="2">
        <f t="shared" si="2"/>
        <v>0</v>
      </c>
      <c r="V16" s="2">
        <f t="shared" si="3"/>
        <v>0</v>
      </c>
      <c r="W16" s="2">
        <f t="shared" si="4"/>
        <v>562</v>
      </c>
      <c r="X16" s="2">
        <f t="shared" si="5"/>
        <v>0</v>
      </c>
    </row>
    <row r="17" spans="1:24">
      <c r="A17" s="2">
        <f>FrontPage!$N$2</f>
        <v>1</v>
      </c>
      <c r="B17" s="305">
        <f t="shared" si="0"/>
        <v>202425</v>
      </c>
      <c r="C17" s="2" t="s">
        <v>29</v>
      </c>
      <c r="D17" s="2">
        <v>17</v>
      </c>
      <c r="E17" s="2">
        <v>3</v>
      </c>
      <c r="F17" s="2">
        <f t="shared" si="6"/>
        <v>0</v>
      </c>
      <c r="G17" s="4">
        <f>IF('BR2'!F36="",0,'BR2'!F36)</f>
        <v>0</v>
      </c>
      <c r="H17" s="2">
        <v>0.38324000000000003</v>
      </c>
      <c r="I17" s="2">
        <f t="shared" si="7"/>
        <v>0</v>
      </c>
      <c r="J17" s="2">
        <v>16</v>
      </c>
      <c r="K17" s="2" t="s">
        <v>128</v>
      </c>
      <c r="M17" s="2">
        <v>202324</v>
      </c>
      <c r="N17" s="2" t="s">
        <v>29</v>
      </c>
      <c r="O17" s="2">
        <v>17</v>
      </c>
      <c r="P17" s="2">
        <v>3</v>
      </c>
      <c r="Q17" s="2">
        <v>562</v>
      </c>
      <c r="R17" s="2">
        <v>0</v>
      </c>
      <c r="S17" s="18"/>
      <c r="T17" s="2">
        <f t="shared" si="1"/>
        <v>-101</v>
      </c>
      <c r="U17" s="2">
        <f t="shared" si="2"/>
        <v>0</v>
      </c>
      <c r="V17" s="2">
        <f t="shared" si="3"/>
        <v>0</v>
      </c>
      <c r="W17" s="2">
        <f t="shared" si="4"/>
        <v>562</v>
      </c>
      <c r="X17" s="2">
        <f t="shared" si="5"/>
        <v>0</v>
      </c>
    </row>
    <row r="18" spans="1:24">
      <c r="A18" s="2">
        <f>FrontPage!$N$2</f>
        <v>1</v>
      </c>
      <c r="B18" s="305">
        <f t="shared" si="0"/>
        <v>202425</v>
      </c>
      <c r="C18" s="2" t="s">
        <v>29</v>
      </c>
      <c r="D18" s="2">
        <v>18</v>
      </c>
      <c r="E18" s="2">
        <v>3</v>
      </c>
      <c r="F18" s="2">
        <f t="shared" si="6"/>
        <v>0</v>
      </c>
      <c r="G18" s="4">
        <f>IF('BR2'!F37="",0,'BR2'!F37)</f>
        <v>0</v>
      </c>
      <c r="H18" s="2">
        <v>0.95935999999999999</v>
      </c>
      <c r="I18" s="2">
        <f t="shared" si="7"/>
        <v>0</v>
      </c>
      <c r="J18" s="2">
        <v>17</v>
      </c>
      <c r="K18" s="2" t="s">
        <v>129</v>
      </c>
      <c r="M18" s="2">
        <v>202324</v>
      </c>
      <c r="N18" s="2" t="s">
        <v>29</v>
      </c>
      <c r="O18" s="2">
        <v>18</v>
      </c>
      <c r="P18" s="2">
        <v>3</v>
      </c>
      <c r="Q18" s="2">
        <v>562</v>
      </c>
      <c r="R18" s="2">
        <v>231947.64</v>
      </c>
      <c r="S18" s="18"/>
      <c r="T18" s="2">
        <f t="shared" si="1"/>
        <v>-101</v>
      </c>
      <c r="U18" s="2">
        <f t="shared" si="2"/>
        <v>0</v>
      </c>
      <c r="V18" s="2">
        <f t="shared" si="3"/>
        <v>0</v>
      </c>
      <c r="W18" s="2">
        <f t="shared" si="4"/>
        <v>562</v>
      </c>
      <c r="X18" s="2">
        <f t="shared" si="5"/>
        <v>231947.64</v>
      </c>
    </row>
    <row r="19" spans="1:24">
      <c r="A19" s="2">
        <f>FrontPage!$N$2</f>
        <v>1</v>
      </c>
      <c r="B19" s="305">
        <f t="shared" si="0"/>
        <v>202425</v>
      </c>
      <c r="C19" s="2" t="s">
        <v>29</v>
      </c>
      <c r="D19" s="2">
        <v>11</v>
      </c>
      <c r="E19" s="2">
        <v>4</v>
      </c>
      <c r="F19" s="2">
        <f t="shared" si="6"/>
        <v>0</v>
      </c>
      <c r="G19" s="4">
        <f>IF('BR2'!G30="",0,'BR2'!G30)</f>
        <v>0</v>
      </c>
      <c r="H19" s="2">
        <v>0.85262000000000004</v>
      </c>
      <c r="I19" s="2">
        <f t="shared" si="7"/>
        <v>0</v>
      </c>
      <c r="J19" s="2">
        <v>18</v>
      </c>
      <c r="K19" s="2" t="s">
        <v>130</v>
      </c>
      <c r="M19" s="2">
        <v>202324</v>
      </c>
      <c r="N19" s="2" t="s">
        <v>29</v>
      </c>
      <c r="O19" s="2">
        <v>11</v>
      </c>
      <c r="P19" s="2">
        <v>4</v>
      </c>
      <c r="Q19" s="2">
        <v>562</v>
      </c>
      <c r="R19" s="2">
        <v>1</v>
      </c>
      <c r="S19" s="18"/>
      <c r="T19" s="2">
        <f t="shared" si="1"/>
        <v>-101</v>
      </c>
      <c r="U19" s="2">
        <f t="shared" si="2"/>
        <v>0</v>
      </c>
      <c r="V19" s="2">
        <f t="shared" si="3"/>
        <v>0</v>
      </c>
      <c r="W19" s="2">
        <f t="shared" si="4"/>
        <v>562</v>
      </c>
      <c r="X19" s="2">
        <f t="shared" si="5"/>
        <v>1</v>
      </c>
    </row>
    <row r="20" spans="1:24">
      <c r="A20" s="2">
        <f>FrontPage!$N$2</f>
        <v>1</v>
      </c>
      <c r="B20" s="305">
        <f t="shared" si="0"/>
        <v>202425</v>
      </c>
      <c r="C20" s="2" t="s">
        <v>29</v>
      </c>
      <c r="D20" s="2">
        <v>12</v>
      </c>
      <c r="E20" s="2">
        <v>4</v>
      </c>
      <c r="F20" s="2">
        <f t="shared" si="6"/>
        <v>0</v>
      </c>
      <c r="G20" s="4">
        <f>IF('BR2'!G31="",0,'BR2'!G31)</f>
        <v>0</v>
      </c>
      <c r="H20" s="2">
        <v>0.62390999999999996</v>
      </c>
      <c r="I20" s="2">
        <f t="shared" si="7"/>
        <v>0</v>
      </c>
      <c r="J20" s="2">
        <v>19</v>
      </c>
      <c r="K20" s="2" t="s">
        <v>131</v>
      </c>
      <c r="M20" s="2">
        <v>202324</v>
      </c>
      <c r="N20" s="2" t="s">
        <v>29</v>
      </c>
      <c r="O20" s="2">
        <v>12</v>
      </c>
      <c r="P20" s="2">
        <v>4</v>
      </c>
      <c r="Q20" s="2">
        <v>562</v>
      </c>
      <c r="R20" s="2">
        <v>2</v>
      </c>
      <c r="S20" s="18"/>
      <c r="T20" s="2">
        <f t="shared" si="1"/>
        <v>-101</v>
      </c>
      <c r="U20" s="2">
        <f t="shared" si="2"/>
        <v>0</v>
      </c>
      <c r="V20" s="2">
        <f t="shared" si="3"/>
        <v>0</v>
      </c>
      <c r="W20" s="2">
        <f t="shared" si="4"/>
        <v>562</v>
      </c>
      <c r="X20" s="2">
        <f t="shared" si="5"/>
        <v>2</v>
      </c>
    </row>
    <row r="21" spans="1:24">
      <c r="A21" s="2">
        <f>FrontPage!$N$2</f>
        <v>1</v>
      </c>
      <c r="B21" s="305">
        <f t="shared" si="0"/>
        <v>202425</v>
      </c>
      <c r="C21" s="2" t="s">
        <v>29</v>
      </c>
      <c r="D21" s="2">
        <v>13</v>
      </c>
      <c r="E21" s="2">
        <v>4</v>
      </c>
      <c r="F21" s="2">
        <f t="shared" si="6"/>
        <v>0</v>
      </c>
      <c r="G21" s="4">
        <f>IF('BR2'!G32="",0,'BR2'!G32)</f>
        <v>0</v>
      </c>
      <c r="H21" s="2">
        <v>0.67191000000000001</v>
      </c>
      <c r="I21" s="2">
        <f t="shared" si="7"/>
        <v>0</v>
      </c>
      <c r="J21" s="2">
        <v>20</v>
      </c>
      <c r="K21" s="2" t="s">
        <v>132</v>
      </c>
      <c r="M21" s="2">
        <v>202324</v>
      </c>
      <c r="N21" s="2" t="s">
        <v>29</v>
      </c>
      <c r="O21" s="2">
        <v>13</v>
      </c>
      <c r="P21" s="2">
        <v>4</v>
      </c>
      <c r="Q21" s="2">
        <v>562</v>
      </c>
      <c r="R21" s="2">
        <v>3</v>
      </c>
      <c r="S21" s="18"/>
      <c r="T21" s="2">
        <f t="shared" si="1"/>
        <v>-101</v>
      </c>
      <c r="U21" s="2">
        <f t="shared" si="2"/>
        <v>0</v>
      </c>
      <c r="V21" s="2">
        <f t="shared" si="3"/>
        <v>0</v>
      </c>
      <c r="W21" s="2">
        <f t="shared" si="4"/>
        <v>562</v>
      </c>
      <c r="X21" s="2">
        <f t="shared" si="5"/>
        <v>3</v>
      </c>
    </row>
    <row r="22" spans="1:24">
      <c r="A22" s="2">
        <f>FrontPage!$N$2</f>
        <v>1</v>
      </c>
      <c r="B22" s="305">
        <f t="shared" si="0"/>
        <v>202425</v>
      </c>
      <c r="C22" s="2" t="s">
        <v>29</v>
      </c>
      <c r="D22" s="2">
        <v>14</v>
      </c>
      <c r="E22" s="2">
        <v>4</v>
      </c>
      <c r="F22" s="2">
        <f t="shared" si="6"/>
        <v>0</v>
      </c>
      <c r="G22" s="4">
        <f>IF('BR2'!G33="",0,'BR2'!G33)</f>
        <v>0</v>
      </c>
      <c r="H22" s="2">
        <v>0.23651</v>
      </c>
      <c r="I22" s="2">
        <f t="shared" si="7"/>
        <v>0</v>
      </c>
      <c r="J22" s="2">
        <v>21</v>
      </c>
      <c r="K22" s="2" t="s">
        <v>133</v>
      </c>
      <c r="M22" s="2">
        <v>202324</v>
      </c>
      <c r="N22" s="2" t="s">
        <v>29</v>
      </c>
      <c r="O22" s="2">
        <v>14</v>
      </c>
      <c r="P22" s="2">
        <v>4</v>
      </c>
      <c r="Q22" s="2">
        <v>562</v>
      </c>
      <c r="R22" s="2">
        <v>4</v>
      </c>
      <c r="S22" s="18"/>
      <c r="T22" s="2">
        <f t="shared" si="1"/>
        <v>-101</v>
      </c>
      <c r="U22" s="2">
        <f t="shared" si="2"/>
        <v>0</v>
      </c>
      <c r="V22" s="2">
        <f t="shared" si="3"/>
        <v>0</v>
      </c>
      <c r="W22" s="2">
        <f t="shared" si="4"/>
        <v>562</v>
      </c>
      <c r="X22" s="2">
        <f t="shared" si="5"/>
        <v>4</v>
      </c>
    </row>
    <row r="23" spans="1:24">
      <c r="A23" s="2">
        <f>FrontPage!$N$2</f>
        <v>1</v>
      </c>
      <c r="B23" s="305">
        <f t="shared" si="0"/>
        <v>202425</v>
      </c>
      <c r="C23" s="2" t="s">
        <v>29</v>
      </c>
      <c r="D23" s="2">
        <v>15</v>
      </c>
      <c r="E23" s="2">
        <v>4</v>
      </c>
      <c r="F23" s="2">
        <f t="shared" si="6"/>
        <v>0</v>
      </c>
      <c r="G23" s="4">
        <f>IF('BR2'!G34="",0,'BR2'!G34)</f>
        <v>0</v>
      </c>
      <c r="H23" s="2">
        <v>0.40619</v>
      </c>
      <c r="I23" s="2">
        <f t="shared" si="7"/>
        <v>0</v>
      </c>
      <c r="J23" s="2">
        <v>22</v>
      </c>
      <c r="K23" s="2" t="s">
        <v>134</v>
      </c>
      <c r="M23" s="2">
        <v>202324</v>
      </c>
      <c r="N23" s="2" t="s">
        <v>29</v>
      </c>
      <c r="O23" s="2">
        <v>15</v>
      </c>
      <c r="P23" s="2">
        <v>4</v>
      </c>
      <c r="Q23" s="2">
        <v>562</v>
      </c>
      <c r="R23" s="2">
        <v>5</v>
      </c>
      <c r="S23" s="18"/>
      <c r="T23" s="2">
        <f t="shared" si="1"/>
        <v>-101</v>
      </c>
      <c r="U23" s="2">
        <f t="shared" si="2"/>
        <v>0</v>
      </c>
      <c r="V23" s="2">
        <f t="shared" si="3"/>
        <v>0</v>
      </c>
      <c r="W23" s="2">
        <f t="shared" si="4"/>
        <v>562</v>
      </c>
      <c r="X23" s="2">
        <f t="shared" si="5"/>
        <v>5</v>
      </c>
    </row>
    <row r="24" spans="1:24">
      <c r="A24" s="2">
        <f>FrontPage!$N$2</f>
        <v>1</v>
      </c>
      <c r="B24" s="305">
        <f t="shared" si="0"/>
        <v>202425</v>
      </c>
      <c r="C24" s="2" t="s">
        <v>29</v>
      </c>
      <c r="D24" s="2">
        <v>16</v>
      </c>
      <c r="E24" s="2">
        <v>4</v>
      </c>
      <c r="F24" s="2">
        <f t="shared" si="6"/>
        <v>0</v>
      </c>
      <c r="G24" s="4">
        <f>IF('BR2'!G35="",0,'BR2'!G35)</f>
        <v>0</v>
      </c>
      <c r="H24" s="2">
        <v>0.14831</v>
      </c>
      <c r="I24" s="2">
        <f t="shared" si="7"/>
        <v>0</v>
      </c>
      <c r="J24" s="2">
        <v>23</v>
      </c>
      <c r="K24" s="2" t="s">
        <v>135</v>
      </c>
      <c r="M24" s="2">
        <v>202324</v>
      </c>
      <c r="N24" s="2" t="s">
        <v>29</v>
      </c>
      <c r="O24" s="2">
        <v>16</v>
      </c>
      <c r="P24" s="2">
        <v>4</v>
      </c>
      <c r="Q24" s="2">
        <v>562</v>
      </c>
      <c r="R24" s="2">
        <v>6</v>
      </c>
      <c r="S24" s="18"/>
      <c r="T24" s="2">
        <f t="shared" si="1"/>
        <v>-101</v>
      </c>
      <c r="U24" s="2">
        <f t="shared" si="2"/>
        <v>0</v>
      </c>
      <c r="V24" s="2">
        <f t="shared" si="3"/>
        <v>0</v>
      </c>
      <c r="W24" s="2">
        <f t="shared" si="4"/>
        <v>562</v>
      </c>
      <c r="X24" s="2">
        <f t="shared" si="5"/>
        <v>6</v>
      </c>
    </row>
    <row r="25" spans="1:24">
      <c r="A25" s="2">
        <f>FrontPage!$N$2</f>
        <v>1</v>
      </c>
      <c r="B25" s="305">
        <f t="shared" si="0"/>
        <v>202425</v>
      </c>
      <c r="C25" s="2" t="s">
        <v>29</v>
      </c>
      <c r="D25" s="2">
        <v>17</v>
      </c>
      <c r="E25" s="2">
        <v>4</v>
      </c>
      <c r="F25" s="2">
        <f t="shared" si="6"/>
        <v>0</v>
      </c>
      <c r="G25" s="4">
        <f>IF('BR2'!G36="",0,'BR2'!G36)</f>
        <v>0</v>
      </c>
      <c r="H25" s="2">
        <v>0.43556</v>
      </c>
      <c r="I25" s="2">
        <f t="shared" si="7"/>
        <v>0</v>
      </c>
      <c r="J25" s="2">
        <v>24</v>
      </c>
      <c r="K25" s="2" t="s">
        <v>136</v>
      </c>
      <c r="M25" s="2">
        <v>202324</v>
      </c>
      <c r="N25" s="2" t="s">
        <v>29</v>
      </c>
      <c r="O25" s="2">
        <v>17</v>
      </c>
      <c r="P25" s="2">
        <v>4</v>
      </c>
      <c r="Q25" s="2">
        <v>562</v>
      </c>
      <c r="R25" s="2">
        <v>7</v>
      </c>
      <c r="S25" s="18"/>
      <c r="T25" s="2">
        <f t="shared" si="1"/>
        <v>-101</v>
      </c>
      <c r="U25" s="2">
        <f t="shared" si="2"/>
        <v>0</v>
      </c>
      <c r="V25" s="2">
        <f t="shared" si="3"/>
        <v>0</v>
      </c>
      <c r="W25" s="2">
        <f t="shared" si="4"/>
        <v>562</v>
      </c>
      <c r="X25" s="2">
        <f t="shared" si="5"/>
        <v>7</v>
      </c>
    </row>
    <row r="26" spans="1:24">
      <c r="A26" s="2">
        <f>FrontPage!$N$2</f>
        <v>1</v>
      </c>
      <c r="B26" s="305">
        <f t="shared" si="0"/>
        <v>202425</v>
      </c>
      <c r="C26" s="2" t="s">
        <v>29</v>
      </c>
      <c r="D26" s="2">
        <v>18</v>
      </c>
      <c r="E26" s="2">
        <v>4</v>
      </c>
      <c r="F26" s="2">
        <f t="shared" si="6"/>
        <v>0</v>
      </c>
      <c r="G26" s="4">
        <f>IF('BR2'!G37="",0,'BR2'!G37)</f>
        <v>0</v>
      </c>
      <c r="H26" s="2">
        <v>0.77778999999999998</v>
      </c>
      <c r="I26" s="2">
        <f t="shared" si="7"/>
        <v>0</v>
      </c>
      <c r="J26" s="2">
        <v>25</v>
      </c>
      <c r="K26" s="2" t="s">
        <v>137</v>
      </c>
      <c r="M26" s="2">
        <v>202324</v>
      </c>
      <c r="N26" s="2" t="s">
        <v>29</v>
      </c>
      <c r="O26" s="2">
        <v>18</v>
      </c>
      <c r="P26" s="2">
        <v>4</v>
      </c>
      <c r="Q26" s="2">
        <v>562</v>
      </c>
      <c r="R26" s="2">
        <v>28</v>
      </c>
      <c r="S26" s="18"/>
      <c r="T26" s="2">
        <f t="shared" si="1"/>
        <v>-101</v>
      </c>
      <c r="U26" s="2">
        <f t="shared" si="2"/>
        <v>0</v>
      </c>
      <c r="V26" s="2">
        <f t="shared" si="3"/>
        <v>0</v>
      </c>
      <c r="W26" s="2">
        <f t="shared" si="4"/>
        <v>562</v>
      </c>
      <c r="X26" s="2">
        <f t="shared" si="5"/>
        <v>28</v>
      </c>
    </row>
    <row r="27" spans="1:24">
      <c r="A27" s="2">
        <f>FrontPage!$N$2</f>
        <v>1</v>
      </c>
      <c r="B27" s="305">
        <f t="shared" si="0"/>
        <v>202425</v>
      </c>
      <c r="C27" s="2" t="s">
        <v>29</v>
      </c>
      <c r="D27" s="2">
        <v>11</v>
      </c>
      <c r="E27" s="2">
        <v>5</v>
      </c>
      <c r="F27" s="2">
        <f t="shared" si="6"/>
        <v>0</v>
      </c>
      <c r="G27" s="236">
        <f>IF(UANumber=0,0,VLOOKUP(UANumber,UAList,7,FALSE))</f>
        <v>0</v>
      </c>
      <c r="H27" s="156" t="s">
        <v>3322</v>
      </c>
      <c r="I27" s="156"/>
      <c r="J27" s="2">
        <v>26</v>
      </c>
      <c r="K27" s="2" t="s">
        <v>138</v>
      </c>
      <c r="M27" s="2">
        <v>202324</v>
      </c>
      <c r="N27" s="2" t="s">
        <v>29</v>
      </c>
      <c r="O27" s="2">
        <v>11</v>
      </c>
      <c r="P27" s="2">
        <v>5</v>
      </c>
      <c r="Q27" s="2">
        <v>562</v>
      </c>
      <c r="R27" s="2">
        <v>524</v>
      </c>
      <c r="S27" s="18"/>
      <c r="T27" s="2">
        <f t="shared" si="1"/>
        <v>-101</v>
      </c>
      <c r="U27" s="2">
        <f t="shared" si="2"/>
        <v>0</v>
      </c>
      <c r="V27" s="2">
        <f t="shared" si="3"/>
        <v>0</v>
      </c>
      <c r="W27" s="2">
        <f t="shared" si="4"/>
        <v>562</v>
      </c>
      <c r="X27" s="2">
        <f t="shared" si="5"/>
        <v>524</v>
      </c>
    </row>
    <row r="28" spans="1:24">
      <c r="A28" s="2">
        <f>FrontPage!$N$2</f>
        <v>1</v>
      </c>
      <c r="B28" s="305">
        <f t="shared" si="0"/>
        <v>202425</v>
      </c>
      <c r="C28" s="2" t="s">
        <v>29</v>
      </c>
      <c r="D28" s="2">
        <v>12</v>
      </c>
      <c r="E28" s="2">
        <v>5</v>
      </c>
      <c r="F28" s="2">
        <f t="shared" si="6"/>
        <v>0</v>
      </c>
      <c r="G28" s="237">
        <f>IF(UANumber=0,0,VLOOKUP(UANumber,UAList,8,FALSE))</f>
        <v>0</v>
      </c>
      <c r="H28" s="156" t="s">
        <v>3323</v>
      </c>
      <c r="I28" s="156"/>
      <c r="J28" s="2">
        <v>27</v>
      </c>
      <c r="K28" s="2" t="s">
        <v>139</v>
      </c>
      <c r="M28" s="2">
        <v>202324</v>
      </c>
      <c r="N28" s="2" t="s">
        <v>29</v>
      </c>
      <c r="O28" s="2">
        <v>12</v>
      </c>
      <c r="P28" s="2">
        <v>5</v>
      </c>
      <c r="Q28" s="2">
        <v>562</v>
      </c>
      <c r="R28" s="2">
        <v>526</v>
      </c>
      <c r="S28" s="18"/>
      <c r="T28" s="2">
        <f t="shared" si="1"/>
        <v>-101</v>
      </c>
      <c r="U28" s="2">
        <f t="shared" si="2"/>
        <v>0</v>
      </c>
      <c r="V28" s="2">
        <f t="shared" si="3"/>
        <v>0</v>
      </c>
      <c r="W28" s="2">
        <f t="shared" si="4"/>
        <v>562</v>
      </c>
      <c r="X28" s="2">
        <f t="shared" si="5"/>
        <v>526</v>
      </c>
    </row>
    <row r="29" spans="1:24">
      <c r="A29" s="2">
        <f>FrontPage!$N$2</f>
        <v>1</v>
      </c>
      <c r="B29" s="305">
        <f t="shared" si="0"/>
        <v>202425</v>
      </c>
      <c r="C29" s="2" t="s">
        <v>29</v>
      </c>
      <c r="D29" s="2">
        <v>13</v>
      </c>
      <c r="E29" s="2">
        <v>5</v>
      </c>
      <c r="F29" s="2">
        <f t="shared" si="6"/>
        <v>0</v>
      </c>
      <c r="G29" s="237">
        <f>IF(UANumber=0,0,VLOOKUP(UANumber,UAList,9,FALSE))</f>
        <v>0</v>
      </c>
      <c r="J29" s="2">
        <v>28</v>
      </c>
      <c r="K29" s="2" t="s">
        <v>140</v>
      </c>
      <c r="M29" s="2">
        <v>202324</v>
      </c>
      <c r="N29" s="2" t="s">
        <v>29</v>
      </c>
      <c r="O29" s="2">
        <v>13</v>
      </c>
      <c r="P29" s="2">
        <v>5</v>
      </c>
      <c r="Q29" s="2">
        <v>562</v>
      </c>
      <c r="R29" s="2">
        <v>528</v>
      </c>
      <c r="S29" s="18"/>
      <c r="T29" s="2">
        <f t="shared" si="1"/>
        <v>-101</v>
      </c>
      <c r="U29" s="2">
        <f t="shared" si="2"/>
        <v>0</v>
      </c>
      <c r="V29" s="2">
        <f t="shared" si="3"/>
        <v>0</v>
      </c>
      <c r="W29" s="2">
        <f t="shared" si="4"/>
        <v>562</v>
      </c>
      <c r="X29" s="2">
        <f t="shared" si="5"/>
        <v>528</v>
      </c>
    </row>
    <row r="30" spans="1:24">
      <c r="A30" s="2">
        <f>FrontPage!$N$2</f>
        <v>1</v>
      </c>
      <c r="B30" s="305">
        <f t="shared" si="0"/>
        <v>202425</v>
      </c>
      <c r="C30" s="2" t="s">
        <v>29</v>
      </c>
      <c r="D30" s="2">
        <v>14</v>
      </c>
      <c r="E30" s="2">
        <v>5</v>
      </c>
      <c r="F30" s="2">
        <f t="shared" si="6"/>
        <v>0</v>
      </c>
      <c r="G30" s="237">
        <f>IF(UANumber=0,0,VLOOKUP(UANumber,UAList,10,FALSE))</f>
        <v>0</v>
      </c>
      <c r="J30" s="2">
        <v>29</v>
      </c>
      <c r="K30" s="2" t="s">
        <v>141</v>
      </c>
      <c r="M30" s="2">
        <v>202324</v>
      </c>
      <c r="N30" s="2" t="s">
        <v>29</v>
      </c>
      <c r="O30" s="2">
        <v>14</v>
      </c>
      <c r="P30" s="2">
        <v>5</v>
      </c>
      <c r="Q30" s="2">
        <v>562</v>
      </c>
      <c r="R30" s="2">
        <v>530</v>
      </c>
      <c r="S30" s="18"/>
      <c r="T30" s="2">
        <f t="shared" si="1"/>
        <v>-101</v>
      </c>
      <c r="U30" s="2">
        <f t="shared" si="2"/>
        <v>0</v>
      </c>
      <c r="V30" s="2">
        <f t="shared" si="3"/>
        <v>0</v>
      </c>
      <c r="W30" s="2">
        <f t="shared" si="4"/>
        <v>562</v>
      </c>
      <c r="X30" s="2">
        <f t="shared" si="5"/>
        <v>530</v>
      </c>
    </row>
    <row r="31" spans="1:24">
      <c r="A31" s="2">
        <f>FrontPage!$N$2</f>
        <v>1</v>
      </c>
      <c r="B31" s="305">
        <f t="shared" si="0"/>
        <v>202425</v>
      </c>
      <c r="C31" s="2" t="s">
        <v>29</v>
      </c>
      <c r="D31" s="2">
        <v>15</v>
      </c>
      <c r="E31" s="2">
        <v>5</v>
      </c>
      <c r="F31" s="2">
        <f t="shared" si="6"/>
        <v>0</v>
      </c>
      <c r="G31" s="237">
        <f>IF(UANumber=0,0,VLOOKUP(UANumber,UAList,11,FALSE))</f>
        <v>0</v>
      </c>
      <c r="J31" s="2">
        <v>30</v>
      </c>
      <c r="K31" s="2" t="s">
        <v>142</v>
      </c>
      <c r="M31" s="2">
        <v>202324</v>
      </c>
      <c r="N31" s="2" t="s">
        <v>29</v>
      </c>
      <c r="O31" s="2">
        <v>15</v>
      </c>
      <c r="P31" s="2">
        <v>5</v>
      </c>
      <c r="Q31" s="2">
        <v>562</v>
      </c>
      <c r="R31" s="2">
        <v>0</v>
      </c>
      <c r="S31" s="18"/>
      <c r="T31" s="2">
        <f t="shared" si="1"/>
        <v>-101</v>
      </c>
      <c r="U31" s="2">
        <f t="shared" si="2"/>
        <v>0</v>
      </c>
      <c r="V31" s="2">
        <f t="shared" si="3"/>
        <v>0</v>
      </c>
      <c r="W31" s="2">
        <f t="shared" si="4"/>
        <v>562</v>
      </c>
      <c r="X31" s="2">
        <f t="shared" si="5"/>
        <v>0</v>
      </c>
    </row>
    <row r="32" spans="1:24">
      <c r="A32" s="2">
        <f>FrontPage!$N$2</f>
        <v>1</v>
      </c>
      <c r="B32" s="305">
        <f t="shared" si="0"/>
        <v>202425</v>
      </c>
      <c r="C32" s="2" t="s">
        <v>29</v>
      </c>
      <c r="D32" s="2">
        <v>16</v>
      </c>
      <c r="E32" s="2">
        <v>5</v>
      </c>
      <c r="F32" s="2">
        <f t="shared" si="6"/>
        <v>0</v>
      </c>
      <c r="G32" s="237">
        <f>IF(UANumber=0,0,VLOOKUP(UANumber,UAList,12,FALSE))</f>
        <v>0</v>
      </c>
      <c r="J32" s="2">
        <v>31</v>
      </c>
      <c r="K32" s="2" t="s">
        <v>143</v>
      </c>
      <c r="M32" s="2">
        <v>202324</v>
      </c>
      <c r="N32" s="2" t="s">
        <v>29</v>
      </c>
      <c r="O32" s="2">
        <v>16</v>
      </c>
      <c r="P32" s="2">
        <v>5</v>
      </c>
      <c r="Q32" s="2">
        <v>562</v>
      </c>
      <c r="R32" s="2">
        <v>0</v>
      </c>
      <c r="S32" s="18"/>
      <c r="T32" s="2">
        <f t="shared" si="1"/>
        <v>-101</v>
      </c>
      <c r="U32" s="2">
        <f t="shared" si="2"/>
        <v>0</v>
      </c>
      <c r="V32" s="2">
        <f t="shared" si="3"/>
        <v>0</v>
      </c>
      <c r="W32" s="2">
        <f t="shared" si="4"/>
        <v>562</v>
      </c>
      <c r="X32" s="2">
        <f t="shared" si="5"/>
        <v>0</v>
      </c>
    </row>
    <row r="33" spans="1:24">
      <c r="A33" s="2">
        <f>FrontPage!$N$2</f>
        <v>1</v>
      </c>
      <c r="B33" s="305">
        <f t="shared" si="0"/>
        <v>202425</v>
      </c>
      <c r="C33" s="2" t="s">
        <v>29</v>
      </c>
      <c r="D33" s="2">
        <v>17</v>
      </c>
      <c r="E33" s="2">
        <v>5</v>
      </c>
      <c r="F33" s="2">
        <f t="shared" si="6"/>
        <v>0</v>
      </c>
      <c r="G33" s="238">
        <f>IF(UANumber=0,0,VLOOKUP(UANumber,UAList,13,FALSE))</f>
        <v>0</v>
      </c>
      <c r="J33" s="2">
        <v>32</v>
      </c>
      <c r="K33" s="2" t="s">
        <v>144</v>
      </c>
      <c r="M33" s="2">
        <v>202324</v>
      </c>
      <c r="N33" s="2" t="s">
        <v>29</v>
      </c>
      <c r="O33" s="2">
        <v>17</v>
      </c>
      <c r="P33" s="2">
        <v>5</v>
      </c>
      <c r="Q33" s="2">
        <v>562</v>
      </c>
      <c r="R33" s="2">
        <v>0</v>
      </c>
      <c r="S33" s="18"/>
      <c r="T33" s="2">
        <f t="shared" si="1"/>
        <v>-101</v>
      </c>
      <c r="U33" s="2">
        <f t="shared" si="2"/>
        <v>0</v>
      </c>
      <c r="V33" s="2">
        <f t="shared" si="3"/>
        <v>0</v>
      </c>
      <c r="W33" s="2">
        <f t="shared" si="4"/>
        <v>562</v>
      </c>
      <c r="X33" s="2">
        <f t="shared" si="5"/>
        <v>0</v>
      </c>
    </row>
    <row r="34" spans="1:24">
      <c r="J34" s="2">
        <v>33</v>
      </c>
      <c r="K34" s="2" t="s">
        <v>145</v>
      </c>
    </row>
    <row r="35" spans="1:24">
      <c r="H35" s="2" t="s">
        <v>104</v>
      </c>
      <c r="J35" s="2">
        <v>34</v>
      </c>
      <c r="K35" s="2" t="s">
        <v>146</v>
      </c>
    </row>
    <row r="36" spans="1:24">
      <c r="H36" s="8">
        <f>SUM(I3:I26)</f>
        <v>0</v>
      </c>
      <c r="J36" s="2">
        <v>35</v>
      </c>
      <c r="K36" s="2" t="s">
        <v>147</v>
      </c>
    </row>
    <row r="37" spans="1:24">
      <c r="H37" s="8" t="str">
        <f>FIXED((H36*10000000),0,1)</f>
        <v>0</v>
      </c>
      <c r="J37" s="2">
        <v>36</v>
      </c>
      <c r="K37" s="2" t="s">
        <v>148</v>
      </c>
      <c r="M37" s="14"/>
      <c r="N37" s="14"/>
      <c r="O37" s="14"/>
      <c r="P37" s="14"/>
      <c r="Q37" s="14"/>
      <c r="R37" s="14"/>
    </row>
    <row r="38" spans="1:24">
      <c r="H38" s="8">
        <f>VALUE(LEFT(H37,2))</f>
        <v>0</v>
      </c>
      <c r="J38" s="2">
        <v>37</v>
      </c>
      <c r="K38" s="2" t="s">
        <v>149</v>
      </c>
      <c r="T38" s="242"/>
    </row>
    <row r="39" spans="1:24">
      <c r="H39" s="8">
        <f>VALUE(RIGHT(LEFT(H37,4),2))</f>
        <v>0</v>
      </c>
      <c r="J39" s="2">
        <v>38</v>
      </c>
      <c r="K39" s="2" t="s">
        <v>150</v>
      </c>
      <c r="T39" s="242"/>
    </row>
    <row r="40" spans="1:24">
      <c r="H40" s="8">
        <f>VALUE(RIGHT(LEFT(H37,6),2))</f>
        <v>0</v>
      </c>
      <c r="J40" s="2">
        <v>39</v>
      </c>
      <c r="K40" s="2" t="s">
        <v>151</v>
      </c>
      <c r="T40" s="242"/>
    </row>
    <row r="41" spans="1:24">
      <c r="H41" s="8">
        <f>VALUE(RIGHT(LEFT(H37,8),2))</f>
        <v>0</v>
      </c>
      <c r="J41" s="2">
        <v>40</v>
      </c>
      <c r="K41" s="2" t="s">
        <v>152</v>
      </c>
      <c r="T41" s="242"/>
    </row>
    <row r="42" spans="1:24">
      <c r="H42" s="8">
        <f>VALUE(RIGHT(LEFT(H37,10),2))</f>
        <v>0</v>
      </c>
      <c r="J42" s="2">
        <v>41</v>
      </c>
      <c r="K42" s="2" t="s">
        <v>153</v>
      </c>
      <c r="T42" s="242"/>
    </row>
    <row r="43" spans="1:24">
      <c r="H43" s="8">
        <f>VALUE(RIGHT(LEFT(H37,12),2))</f>
        <v>0</v>
      </c>
      <c r="J43" s="2">
        <v>42</v>
      </c>
      <c r="K43" s="2" t="s">
        <v>154</v>
      </c>
      <c r="T43" s="242"/>
    </row>
    <row r="44" spans="1:24">
      <c r="H44" s="8">
        <f>VALUE(RIGHT(LEFT(H37,14),2))</f>
        <v>0</v>
      </c>
      <c r="J44" s="2">
        <v>43</v>
      </c>
      <c r="K44" s="2" t="s">
        <v>155</v>
      </c>
      <c r="T44" s="242"/>
    </row>
    <row r="45" spans="1:24">
      <c r="J45" s="2">
        <v>44</v>
      </c>
      <c r="K45" s="2" t="s">
        <v>156</v>
      </c>
      <c r="T45" s="242"/>
    </row>
    <row r="46" spans="1:24">
      <c r="H46" s="2" t="str">
        <f>VLOOKUP(H38,letter,2,FALSE)&amp;VLOOKUP(H39,letter,2,FALSE)&amp;VLOOKUP(H40,letter,2,FALSE)&amp;VLOOKUP(H41,letter,2,FALSE)&amp;VLOOKUP(H42,letter,2,FALSE)&amp;VLOOKUP(H43,letter,2,FALSE)&amp;VLOOKUP(H44,letter,2,FALSE)</f>
        <v>ZZZZZZZZZZZZZZ</v>
      </c>
      <c r="J46" s="2">
        <v>45</v>
      </c>
      <c r="K46" s="2" t="s">
        <v>157</v>
      </c>
      <c r="T46" s="242"/>
    </row>
    <row r="47" spans="1:24">
      <c r="J47" s="2">
        <v>46</v>
      </c>
      <c r="K47" s="2" t="s">
        <v>158</v>
      </c>
      <c r="T47" s="242"/>
    </row>
    <row r="48" spans="1:24">
      <c r="J48" s="2">
        <v>47</v>
      </c>
      <c r="K48" s="2" t="s">
        <v>159</v>
      </c>
      <c r="T48" s="242"/>
    </row>
    <row r="49" spans="10:20">
      <c r="J49" s="2">
        <v>48</v>
      </c>
      <c r="K49" s="2" t="s">
        <v>160</v>
      </c>
      <c r="T49" s="242"/>
    </row>
    <row r="50" spans="10:20">
      <c r="J50" s="2">
        <v>49</v>
      </c>
      <c r="K50" s="2" t="s">
        <v>161</v>
      </c>
      <c r="T50" s="242"/>
    </row>
    <row r="51" spans="10:20">
      <c r="J51" s="2">
        <v>50</v>
      </c>
      <c r="K51" s="2" t="s">
        <v>162</v>
      </c>
      <c r="T51" s="242"/>
    </row>
    <row r="52" spans="10:20">
      <c r="J52" s="2">
        <v>51</v>
      </c>
      <c r="K52" s="2" t="s">
        <v>163</v>
      </c>
      <c r="T52" s="242"/>
    </row>
    <row r="53" spans="10:20">
      <c r="J53" s="2">
        <v>52</v>
      </c>
      <c r="K53" s="2" t="s">
        <v>164</v>
      </c>
      <c r="T53" s="242"/>
    </row>
    <row r="54" spans="10:20">
      <c r="J54" s="2">
        <v>53</v>
      </c>
      <c r="K54" s="2" t="s">
        <v>165</v>
      </c>
      <c r="T54" s="242"/>
    </row>
    <row r="55" spans="10:20">
      <c r="J55" s="2">
        <v>54</v>
      </c>
      <c r="K55" s="2" t="s">
        <v>166</v>
      </c>
      <c r="T55" s="242"/>
    </row>
    <row r="56" spans="10:20">
      <c r="J56" s="2">
        <v>55</v>
      </c>
      <c r="K56" s="2" t="s">
        <v>167</v>
      </c>
      <c r="T56" s="242"/>
    </row>
    <row r="57" spans="10:20">
      <c r="J57" s="2">
        <v>56</v>
      </c>
      <c r="K57" s="2" t="s">
        <v>168</v>
      </c>
      <c r="T57" s="242"/>
    </row>
    <row r="58" spans="10:20">
      <c r="J58" s="2">
        <v>57</v>
      </c>
      <c r="K58" s="2" t="s">
        <v>169</v>
      </c>
      <c r="T58" s="242"/>
    </row>
    <row r="59" spans="10:20">
      <c r="J59" s="2">
        <v>58</v>
      </c>
      <c r="K59" s="2" t="s">
        <v>170</v>
      </c>
      <c r="T59" s="242"/>
    </row>
    <row r="60" spans="10:20">
      <c r="J60" s="2">
        <v>59</v>
      </c>
      <c r="K60" s="2" t="s">
        <v>171</v>
      </c>
      <c r="T60" s="242"/>
    </row>
    <row r="61" spans="10:20">
      <c r="J61" s="2">
        <v>60</v>
      </c>
      <c r="K61" s="2" t="s">
        <v>172</v>
      </c>
      <c r="T61" s="242"/>
    </row>
    <row r="62" spans="10:20">
      <c r="J62" s="2">
        <v>61</v>
      </c>
      <c r="K62" s="2" t="s">
        <v>173</v>
      </c>
      <c r="T62" s="242"/>
    </row>
    <row r="63" spans="10:20">
      <c r="J63" s="2">
        <v>62</v>
      </c>
      <c r="K63" s="2" t="s">
        <v>174</v>
      </c>
      <c r="T63" s="242"/>
    </row>
    <row r="64" spans="10:20">
      <c r="J64" s="2">
        <v>63</v>
      </c>
      <c r="K64" s="2" t="s">
        <v>175</v>
      </c>
      <c r="T64" s="242"/>
    </row>
    <row r="65" spans="10:20">
      <c r="J65" s="2">
        <v>64</v>
      </c>
      <c r="K65" s="2" t="s">
        <v>176</v>
      </c>
      <c r="T65" s="242"/>
    </row>
    <row r="66" spans="10:20">
      <c r="J66" s="2">
        <v>65</v>
      </c>
      <c r="K66" s="2" t="s">
        <v>177</v>
      </c>
      <c r="T66" s="242"/>
    </row>
    <row r="67" spans="10:20">
      <c r="J67" s="2">
        <v>66</v>
      </c>
      <c r="K67" s="2" t="s">
        <v>178</v>
      </c>
      <c r="T67" s="242"/>
    </row>
    <row r="68" spans="10:20">
      <c r="J68" s="2">
        <v>67</v>
      </c>
      <c r="K68" s="2" t="s">
        <v>179</v>
      </c>
      <c r="T68" s="242"/>
    </row>
    <row r="69" spans="10:20">
      <c r="J69" s="2">
        <v>68</v>
      </c>
      <c r="K69" s="2" t="s">
        <v>180</v>
      </c>
    </row>
    <row r="70" spans="10:20">
      <c r="J70" s="2">
        <v>69</v>
      </c>
      <c r="K70" s="2" t="s">
        <v>181</v>
      </c>
    </row>
    <row r="71" spans="10:20">
      <c r="J71" s="2">
        <v>70</v>
      </c>
      <c r="K71" s="2" t="s">
        <v>182</v>
      </c>
    </row>
    <row r="72" spans="10:20">
      <c r="J72" s="2">
        <v>71</v>
      </c>
      <c r="K72" s="2" t="s">
        <v>183</v>
      </c>
    </row>
    <row r="73" spans="10:20">
      <c r="J73" s="2">
        <v>72</v>
      </c>
      <c r="K73" s="2" t="s">
        <v>184</v>
      </c>
    </row>
    <row r="74" spans="10:20">
      <c r="J74" s="2">
        <v>73</v>
      </c>
      <c r="K74" s="2" t="s">
        <v>185</v>
      </c>
    </row>
    <row r="75" spans="10:20">
      <c r="J75" s="2">
        <v>74</v>
      </c>
      <c r="K75" s="2" t="s">
        <v>186</v>
      </c>
    </row>
    <row r="76" spans="10:20">
      <c r="J76" s="2">
        <v>75</v>
      </c>
      <c r="K76" s="2" t="s">
        <v>187</v>
      </c>
    </row>
    <row r="77" spans="10:20">
      <c r="J77" s="2">
        <v>76</v>
      </c>
      <c r="K77" s="2" t="s">
        <v>188</v>
      </c>
    </row>
    <row r="78" spans="10:20">
      <c r="J78" s="2">
        <v>77</v>
      </c>
      <c r="K78" s="2" t="s">
        <v>189</v>
      </c>
    </row>
    <row r="79" spans="10:20">
      <c r="J79" s="2">
        <v>78</v>
      </c>
      <c r="K79" s="2" t="s">
        <v>190</v>
      </c>
    </row>
    <row r="80" spans="10:20">
      <c r="J80" s="2">
        <v>79</v>
      </c>
      <c r="K80" s="2" t="s">
        <v>191</v>
      </c>
    </row>
    <row r="81" spans="10:11">
      <c r="J81" s="2">
        <v>80</v>
      </c>
      <c r="K81" s="2" t="s">
        <v>192</v>
      </c>
    </row>
    <row r="82" spans="10:11">
      <c r="J82" s="2">
        <v>81</v>
      </c>
      <c r="K82" s="2" t="s">
        <v>193</v>
      </c>
    </row>
    <row r="83" spans="10:11">
      <c r="J83" s="2">
        <v>82</v>
      </c>
      <c r="K83" s="2" t="s">
        <v>194</v>
      </c>
    </row>
    <row r="84" spans="10:11">
      <c r="J84" s="2">
        <v>83</v>
      </c>
      <c r="K84" s="2" t="s">
        <v>195</v>
      </c>
    </row>
    <row r="85" spans="10:11">
      <c r="J85" s="2">
        <v>84</v>
      </c>
      <c r="K85" s="2" t="s">
        <v>196</v>
      </c>
    </row>
    <row r="86" spans="10:11">
      <c r="J86" s="2">
        <v>85</v>
      </c>
      <c r="K86" s="2" t="s">
        <v>197</v>
      </c>
    </row>
    <row r="87" spans="10:11">
      <c r="J87" s="2">
        <v>86</v>
      </c>
      <c r="K87" s="2" t="s">
        <v>198</v>
      </c>
    </row>
    <row r="88" spans="10:11">
      <c r="J88" s="2">
        <v>87</v>
      </c>
      <c r="K88" s="2" t="s">
        <v>199</v>
      </c>
    </row>
    <row r="89" spans="10:11">
      <c r="J89" s="2">
        <v>88</v>
      </c>
      <c r="K89" s="2" t="s">
        <v>200</v>
      </c>
    </row>
    <row r="90" spans="10:11">
      <c r="J90" s="2">
        <v>89</v>
      </c>
      <c r="K90" s="2" t="s">
        <v>201</v>
      </c>
    </row>
    <row r="91" spans="10:11">
      <c r="J91" s="2">
        <v>90</v>
      </c>
      <c r="K91" s="2" t="s">
        <v>202</v>
      </c>
    </row>
    <row r="92" spans="10:11">
      <c r="J92" s="2">
        <v>91</v>
      </c>
      <c r="K92" s="2" t="s">
        <v>203</v>
      </c>
    </row>
    <row r="93" spans="10:11">
      <c r="J93" s="2">
        <v>92</v>
      </c>
      <c r="K93" s="2" t="s">
        <v>204</v>
      </c>
    </row>
    <row r="94" spans="10:11">
      <c r="J94" s="2">
        <v>93</v>
      </c>
      <c r="K94" s="2" t="s">
        <v>205</v>
      </c>
    </row>
    <row r="95" spans="10:11">
      <c r="J95" s="2">
        <v>94</v>
      </c>
      <c r="K95" s="2" t="s">
        <v>206</v>
      </c>
    </row>
    <row r="96" spans="10:11">
      <c r="J96" s="2">
        <v>95</v>
      </c>
      <c r="K96" s="2" t="s">
        <v>207</v>
      </c>
    </row>
    <row r="97" spans="10:11">
      <c r="J97" s="2">
        <v>96</v>
      </c>
      <c r="K97" s="2" t="s">
        <v>208</v>
      </c>
    </row>
    <row r="98" spans="10:11">
      <c r="J98" s="2">
        <v>97</v>
      </c>
      <c r="K98" s="2" t="s">
        <v>209</v>
      </c>
    </row>
    <row r="99" spans="10:11">
      <c r="J99" s="2">
        <v>98</v>
      </c>
      <c r="K99" s="2" t="s">
        <v>210</v>
      </c>
    </row>
    <row r="100" spans="10:11">
      <c r="J100" s="2">
        <v>99</v>
      </c>
      <c r="K100" s="2" t="s">
        <v>211</v>
      </c>
    </row>
    <row r="101" spans="10:11">
      <c r="J101" s="2">
        <v>0</v>
      </c>
      <c r="K101" s="2" t="s">
        <v>212</v>
      </c>
    </row>
  </sheetData>
  <sheetProtection sheet="1" objects="1" scenarios="1"/>
  <autoFilter ref="M2:R33" xr:uid="{00000000-0009-0000-0000-000004000000}">
    <sortState xmlns:xlrd2="http://schemas.microsoft.com/office/spreadsheetml/2017/richdata2" ref="M3:R33">
      <sortCondition ref="P3:P33"/>
      <sortCondition ref="O3:O33"/>
    </sortState>
  </autoFilter>
  <phoneticPr fontId="0" type="noConversion"/>
  <conditionalFormatting sqref="G27:G33">
    <cfRule type="expression" dxfId="0" priority="1" stopIfTrue="1">
      <formula>#REF!="Please select your authority on front page"</formula>
    </cfRule>
  </conditionalFormatting>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rgb="FF99FF99"/>
  </sheetPr>
  <dimension ref="B1:AF98"/>
  <sheetViews>
    <sheetView topLeftCell="A12" workbookViewId="0">
      <selection activeCell="G43" sqref="G43"/>
    </sheetView>
  </sheetViews>
  <sheetFormatPr defaultColWidth="8.88671875" defaultRowHeight="13.5" customHeight="1"/>
  <cols>
    <col min="1" max="1" width="1.21875" style="2" customWidth="1"/>
    <col min="2" max="2" width="10.109375" style="2" customWidth="1"/>
    <col min="3" max="3" width="12.5546875" style="2" customWidth="1"/>
    <col min="4" max="4" width="23.44140625" style="2" customWidth="1"/>
    <col min="5" max="5" width="13.44140625" style="2" customWidth="1"/>
    <col min="6" max="6" width="11.5546875" style="2" bestFit="1" customWidth="1"/>
    <col min="7" max="7" width="12.109375" style="2" customWidth="1"/>
    <col min="8" max="8" width="11.6640625" style="2" customWidth="1"/>
    <col min="9" max="9" width="11.77734375" style="2" customWidth="1"/>
    <col min="10" max="10" width="12" style="2" bestFit="1" customWidth="1"/>
    <col min="11" max="11" width="7.44140625" style="2" bestFit="1" customWidth="1"/>
    <col min="12" max="12" width="9.5546875" style="2" customWidth="1"/>
    <col min="13" max="13" width="26.33203125" style="2" customWidth="1"/>
    <col min="14" max="14" width="4.44140625" style="2" customWidth="1"/>
    <col min="15" max="15" width="7.77734375" style="2" customWidth="1"/>
    <col min="16" max="16" width="1.44140625" style="2" bestFit="1" customWidth="1"/>
    <col min="17" max="25" width="8.88671875" style="2" customWidth="1"/>
    <col min="26" max="26" width="7.44140625" style="2" bestFit="1" customWidth="1"/>
    <col min="27" max="27" width="6.6640625" style="2" bestFit="1" customWidth="1"/>
    <col min="28" max="28" width="7.6640625" style="2" bestFit="1" customWidth="1"/>
    <col min="29" max="29" width="6.109375" style="2" bestFit="1" customWidth="1"/>
    <col min="30" max="30" width="8.44140625" style="2" bestFit="1" customWidth="1"/>
    <col min="31" max="31" width="9.88671875" style="2" bestFit="1" customWidth="1"/>
    <col min="32" max="32" width="1.88671875" style="2" bestFit="1" customWidth="1"/>
    <col min="33" max="16384" width="8.88671875" style="2"/>
  </cols>
  <sheetData>
    <row r="1" spans="2:25" ht="13.5" customHeight="1" thickBot="1">
      <c r="B1" s="149" t="s">
        <v>3223</v>
      </c>
      <c r="C1" s="14" t="s">
        <v>3224</v>
      </c>
      <c r="E1" s="220" t="s">
        <v>3225</v>
      </c>
      <c r="F1" s="221"/>
      <c r="G1" s="150" t="s">
        <v>3226</v>
      </c>
      <c r="J1" s="10" t="s">
        <v>3321</v>
      </c>
      <c r="K1" s="10"/>
      <c r="M1" s="232" t="s">
        <v>3317</v>
      </c>
    </row>
    <row r="2" spans="2:25" ht="16.5" thickBot="1">
      <c r="B2" s="219">
        <f>VLOOKUP(FrontPage!$F$11,Authority,2,FALSE)</f>
        <v>0</v>
      </c>
      <c r="C2" s="151">
        <f>FrontPage!F11</f>
        <v>1</v>
      </c>
      <c r="E2" s="222" t="s">
        <v>3439</v>
      </c>
      <c r="F2" s="223" t="s">
        <v>3259</v>
      </c>
      <c r="G2" s="219">
        <f>FrontPage!$E$7</f>
        <v>2</v>
      </c>
      <c r="I2" s="458" t="s">
        <v>3460</v>
      </c>
      <c r="J2" s="383">
        <v>202425</v>
      </c>
      <c r="M2" s="233" t="s">
        <v>3318</v>
      </c>
      <c r="R2" s="308" t="s">
        <v>3446</v>
      </c>
      <c r="S2" s="305"/>
      <c r="T2" s="305"/>
      <c r="U2" s="305"/>
      <c r="V2" s="305"/>
      <c r="W2" s="305"/>
    </row>
    <row r="3" spans="2:25" ht="13.5" customHeight="1" thickBot="1">
      <c r="B3" s="14" t="s">
        <v>3227</v>
      </c>
      <c r="E3" s="224" t="s">
        <v>3228</v>
      </c>
      <c r="F3" s="225" t="s">
        <v>3260</v>
      </c>
      <c r="G3" s="14" t="s">
        <v>3467</v>
      </c>
      <c r="J3" s="266" t="str">
        <f>LEFT(Year,4)&amp;"-"&amp;RIGHT(Year,2)</f>
        <v>2024-25</v>
      </c>
      <c r="M3" s="234" t="s">
        <v>3319</v>
      </c>
      <c r="R3" s="704" t="s">
        <v>3447</v>
      </c>
      <c r="S3" s="704"/>
      <c r="T3" s="704"/>
      <c r="U3" s="704"/>
      <c r="V3" s="704"/>
      <c r="W3" s="704"/>
      <c r="X3" s="704"/>
      <c r="Y3" s="704"/>
    </row>
    <row r="4" spans="2:25" ht="16.5" thickBot="1">
      <c r="B4" s="227" t="str">
        <f>IF(C2=0,"",VLOOKUP(C2,Authority,5,FALSE))</f>
        <v>Please select your region on the FrontPage</v>
      </c>
      <c r="C4" s="228"/>
      <c r="D4" s="229"/>
      <c r="F4" s="226" t="str">
        <f>IF(G2=1,F2,F3)</f>
        <v>March</v>
      </c>
      <c r="G4" s="563" t="str">
        <f>1&amp;" "&amp;F4&amp;" "&amp;LEFT(Year,4)</f>
        <v>1 March 2024</v>
      </c>
      <c r="H4" s="267" t="s">
        <v>3338</v>
      </c>
      <c r="I4" s="268" t="s">
        <v>3426</v>
      </c>
      <c r="J4" s="269"/>
      <c r="M4" s="235" t="s">
        <v>3320</v>
      </c>
      <c r="R4" s="704"/>
      <c r="S4" s="704"/>
      <c r="T4" s="704"/>
      <c r="U4" s="704"/>
      <c r="V4" s="704"/>
      <c r="W4" s="704"/>
      <c r="X4" s="704"/>
      <c r="Y4" s="704"/>
    </row>
    <row r="5" spans="2:25" ht="13.5" customHeight="1" thickBot="1">
      <c r="B5" s="558" t="s">
        <v>225</v>
      </c>
      <c r="G5" s="563" t="str">
        <f>7&amp;" "&amp;F4&amp;" "&amp;LEFT(Year,4)</f>
        <v>7 March 2024</v>
      </c>
      <c r="I5" s="270" t="str">
        <f>IF(G2=1,H4,I4)</f>
        <v>LGFS.Transfer@gov.wales</v>
      </c>
      <c r="J5" s="229"/>
    </row>
    <row r="6" spans="2:25" ht="13.5" customHeight="1">
      <c r="B6" s="551" t="s">
        <v>3530</v>
      </c>
      <c r="E6" s="560" t="s">
        <v>3532</v>
      </c>
      <c r="F6" s="384"/>
    </row>
    <row r="7" spans="2:25" ht="13.5" customHeight="1">
      <c r="B7" s="192" t="s">
        <v>0</v>
      </c>
      <c r="C7" s="160" t="s">
        <v>77</v>
      </c>
      <c r="D7" s="160" t="s">
        <v>78</v>
      </c>
      <c r="E7" s="160" t="s">
        <v>79</v>
      </c>
      <c r="F7" s="160" t="s">
        <v>80</v>
      </c>
      <c r="G7" s="160" t="s">
        <v>81</v>
      </c>
      <c r="H7" s="160" t="s">
        <v>82</v>
      </c>
      <c r="I7" s="160" t="s">
        <v>83</v>
      </c>
      <c r="J7" s="160" t="s">
        <v>84</v>
      </c>
      <c r="K7" s="160" t="s">
        <v>85</v>
      </c>
      <c r="L7" s="160" t="s">
        <v>86</v>
      </c>
      <c r="M7" s="161" t="s">
        <v>87</v>
      </c>
    </row>
    <row r="8" spans="2:25" ht="13.5" customHeight="1">
      <c r="B8" s="193">
        <v>562</v>
      </c>
      <c r="C8" s="166" t="s">
        <v>213</v>
      </c>
      <c r="D8" s="166" t="s">
        <v>3235</v>
      </c>
      <c r="E8" s="194" t="s">
        <v>19</v>
      </c>
      <c r="F8" s="166" t="s">
        <v>20</v>
      </c>
      <c r="G8" s="166" t="s">
        <v>9</v>
      </c>
      <c r="H8" s="166" t="s">
        <v>15</v>
      </c>
      <c r="I8" s="166" t="s">
        <v>21</v>
      </c>
      <c r="J8" s="166" t="s">
        <v>3527</v>
      </c>
      <c r="K8" s="166" t="s">
        <v>17</v>
      </c>
      <c r="L8" s="166" t="s">
        <v>3236</v>
      </c>
      <c r="M8" s="195" t="s">
        <v>3528</v>
      </c>
    </row>
    <row r="9" spans="2:25" ht="13.5" customHeight="1">
      <c r="B9" s="193">
        <v>564</v>
      </c>
      <c r="C9" s="166" t="s">
        <v>214</v>
      </c>
      <c r="D9" s="166" t="s">
        <v>218</v>
      </c>
      <c r="E9" s="194" t="s">
        <v>26</v>
      </c>
      <c r="F9" s="166" t="s">
        <v>12</v>
      </c>
      <c r="G9" s="166" t="s">
        <v>11</v>
      </c>
      <c r="H9" s="196" t="s">
        <v>3531</v>
      </c>
      <c r="I9" s="166" t="s">
        <v>22</v>
      </c>
      <c r="J9" s="166" t="s">
        <v>3482</v>
      </c>
      <c r="K9" s="166" t="s">
        <v>219</v>
      </c>
      <c r="L9" s="166" t="s">
        <v>3452</v>
      </c>
      <c r="M9" s="195" t="s">
        <v>3483</v>
      </c>
    </row>
    <row r="10" spans="2:25" ht="13.5" customHeight="1">
      <c r="B10" s="193">
        <v>566</v>
      </c>
      <c r="C10" s="166" t="s">
        <v>215</v>
      </c>
      <c r="D10" s="166" t="s">
        <v>220</v>
      </c>
      <c r="E10" s="194" t="s">
        <v>23</v>
      </c>
      <c r="F10" s="166" t="s">
        <v>24</v>
      </c>
      <c r="G10" s="166" t="s">
        <v>8</v>
      </c>
      <c r="H10" s="196" t="s">
        <v>3531</v>
      </c>
      <c r="I10" s="166" t="s">
        <v>25</v>
      </c>
      <c r="J10" s="166" t="s">
        <v>3453</v>
      </c>
      <c r="K10" s="166" t="s">
        <v>16</v>
      </c>
      <c r="L10" s="166" t="s">
        <v>3454</v>
      </c>
      <c r="M10" s="195" t="s">
        <v>3455</v>
      </c>
    </row>
    <row r="11" spans="2:25" ht="13.5" customHeight="1">
      <c r="B11" s="197">
        <v>568</v>
      </c>
      <c r="C11" s="198" t="s">
        <v>216</v>
      </c>
      <c r="D11" s="198" t="s">
        <v>3484</v>
      </c>
      <c r="E11" s="199" t="s">
        <v>217</v>
      </c>
      <c r="F11" s="198" t="s">
        <v>26</v>
      </c>
      <c r="G11" s="198" t="s">
        <v>27</v>
      </c>
      <c r="H11" s="200" t="s">
        <v>10</v>
      </c>
      <c r="I11" s="198" t="s">
        <v>28</v>
      </c>
      <c r="J11" s="198" t="s">
        <v>3485</v>
      </c>
      <c r="K11" s="198" t="s">
        <v>18</v>
      </c>
      <c r="L11" s="198" t="s">
        <v>3511</v>
      </c>
      <c r="M11" s="201" t="s">
        <v>3486</v>
      </c>
    </row>
    <row r="12" spans="2:25" ht="13.5" customHeight="1">
      <c r="B12" s="5"/>
      <c r="C12" s="5"/>
      <c r="D12" s="5"/>
      <c r="E12" s="19"/>
      <c r="F12" s="5"/>
      <c r="G12" s="5"/>
      <c r="H12" s="5"/>
      <c r="I12" s="5"/>
      <c r="J12" s="5"/>
      <c r="K12" s="5"/>
      <c r="L12" s="5"/>
      <c r="M12" s="5"/>
      <c r="N12" s="8"/>
    </row>
    <row r="13" spans="2:25" ht="13.5" customHeight="1">
      <c r="B13" s="5"/>
      <c r="C13" s="5"/>
      <c r="D13" s="5"/>
      <c r="E13" s="19"/>
      <c r="F13" s="5"/>
      <c r="G13" s="5"/>
      <c r="M13" s="5"/>
      <c r="N13" s="8"/>
    </row>
    <row r="14" spans="2:25" ht="15.75" customHeight="1">
      <c r="B14" s="474" t="s">
        <v>3456</v>
      </c>
      <c r="C14" s="5"/>
      <c r="D14" s="5"/>
      <c r="E14" s="474"/>
      <c r="F14" s="5"/>
      <c r="G14" s="152" t="s">
        <v>248</v>
      </c>
      <c r="H14" s="181" t="s">
        <v>32</v>
      </c>
      <c r="I14" s="183" t="s">
        <v>33</v>
      </c>
      <c r="J14" s="183" t="s">
        <v>34</v>
      </c>
      <c r="K14" s="181" t="s">
        <v>15</v>
      </c>
      <c r="L14" s="181" t="s">
        <v>3255</v>
      </c>
      <c r="M14" s="181" t="s">
        <v>3255</v>
      </c>
      <c r="N14" s="184" t="s">
        <v>3255</v>
      </c>
      <c r="O14" s="156"/>
    </row>
    <row r="15" spans="2:25" ht="13.5" customHeight="1">
      <c r="B15" s="5"/>
      <c r="C15" s="5"/>
      <c r="D15" s="5"/>
      <c r="E15" s="5"/>
      <c r="F15" s="5"/>
      <c r="G15" s="155"/>
      <c r="H15" s="182" t="s">
        <v>35</v>
      </c>
      <c r="I15" s="185" t="s">
        <v>36</v>
      </c>
      <c r="J15" s="185" t="s">
        <v>11</v>
      </c>
      <c r="K15" s="182" t="s">
        <v>37</v>
      </c>
      <c r="L15" s="182" t="s">
        <v>38</v>
      </c>
      <c r="M15" s="182" t="s">
        <v>3255</v>
      </c>
      <c r="N15" s="186" t="s">
        <v>3255</v>
      </c>
      <c r="O15" s="156"/>
    </row>
    <row r="16" spans="2:25" ht="13.5" customHeight="1">
      <c r="B16" s="5"/>
      <c r="C16" s="5"/>
      <c r="D16" s="5"/>
      <c r="E16" s="5"/>
      <c r="F16" s="5"/>
      <c r="G16" s="155"/>
      <c r="H16" s="182" t="s">
        <v>39</v>
      </c>
      <c r="I16" s="182" t="s">
        <v>41</v>
      </c>
      <c r="J16" s="182" t="s">
        <v>8</v>
      </c>
      <c r="K16" s="182" t="s">
        <v>42</v>
      </c>
      <c r="L16" s="182" t="s">
        <v>43</v>
      </c>
      <c r="M16" s="182" t="s">
        <v>44</v>
      </c>
      <c r="N16" s="186" t="s">
        <v>3255</v>
      </c>
      <c r="O16" s="156"/>
    </row>
    <row r="17" spans="2:23" ht="13.5" customHeight="1">
      <c r="B17" s="5"/>
      <c r="C17" s="5"/>
      <c r="D17" s="5"/>
      <c r="E17" s="5"/>
      <c r="F17" s="5"/>
      <c r="G17" s="155"/>
      <c r="H17" s="187" t="s">
        <v>40</v>
      </c>
      <c r="I17" s="187" t="s">
        <v>45</v>
      </c>
      <c r="J17" s="187" t="s">
        <v>10</v>
      </c>
      <c r="K17" s="187" t="s">
        <v>58</v>
      </c>
      <c r="L17" s="187" t="s">
        <v>102</v>
      </c>
      <c r="M17" s="187" t="s">
        <v>47</v>
      </c>
      <c r="N17" s="188" t="s">
        <v>46</v>
      </c>
      <c r="O17" s="156"/>
    </row>
    <row r="18" spans="2:23" ht="13.5" customHeight="1">
      <c r="B18" s="558" t="s">
        <v>14</v>
      </c>
      <c r="E18" s="613" t="s">
        <v>67</v>
      </c>
      <c r="F18" s="614" t="s">
        <v>68</v>
      </c>
      <c r="G18" s="615" t="s">
        <v>69</v>
      </c>
      <c r="H18" s="159" t="s">
        <v>59</v>
      </c>
      <c r="I18" s="159" t="s">
        <v>60</v>
      </c>
      <c r="J18" s="159" t="s">
        <v>61</v>
      </c>
      <c r="K18" s="159" t="s">
        <v>62</v>
      </c>
      <c r="L18" s="159" t="s">
        <v>63</v>
      </c>
      <c r="M18" s="159" t="s">
        <v>64</v>
      </c>
      <c r="N18" s="159" t="s">
        <v>65</v>
      </c>
      <c r="O18" s="159" t="s">
        <v>66</v>
      </c>
    </row>
    <row r="19" spans="2:23" ht="13.5" customHeight="1">
      <c r="E19" s="616" t="s">
        <v>73</v>
      </c>
      <c r="F19" s="617" t="s">
        <v>73</v>
      </c>
      <c r="G19" s="618" t="s">
        <v>73</v>
      </c>
      <c r="H19" s="156"/>
      <c r="I19" s="156"/>
      <c r="J19" s="156"/>
      <c r="K19" s="156"/>
      <c r="L19" s="156"/>
      <c r="M19" s="156"/>
      <c r="N19" s="156"/>
      <c r="O19" s="159" t="s">
        <v>76</v>
      </c>
    </row>
    <row r="20" spans="2:23" ht="13.5" customHeight="1">
      <c r="B20" s="192"/>
      <c r="C20" s="160"/>
      <c r="D20" s="160"/>
      <c r="E20" s="379" t="str">
        <f>J3</f>
        <v>2024-25</v>
      </c>
      <c r="F20" s="380" t="str">
        <f>J3</f>
        <v>2024-25</v>
      </c>
      <c r="G20" s="381" t="str">
        <f>J3</f>
        <v>2024-25</v>
      </c>
      <c r="H20" s="160"/>
      <c r="I20" s="160"/>
      <c r="J20" s="160"/>
      <c r="K20" s="160"/>
      <c r="L20" s="160"/>
      <c r="M20" s="160"/>
      <c r="N20" s="160"/>
      <c r="O20" s="382" t="str">
        <f>J3</f>
        <v>2024-25</v>
      </c>
      <c r="P20" s="4"/>
    </row>
    <row r="21" spans="2:23" ht="13.5" customHeight="1">
      <c r="B21" s="209">
        <v>562</v>
      </c>
      <c r="C21" s="210" t="s">
        <v>7</v>
      </c>
      <c r="D21" s="211" t="s">
        <v>237</v>
      </c>
      <c r="E21" s="619">
        <f>E29</f>
        <v>192104.74874512889</v>
      </c>
      <c r="F21" s="580">
        <f>F29</f>
        <v>8220425.0000000009</v>
      </c>
      <c r="G21" s="620">
        <f>G29</f>
        <v>56124978</v>
      </c>
      <c r="H21" s="177" t="str">
        <f t="shared" ref="H21:N24" si="0">IF($G$2=2,H14,H25)</f>
        <v>Powys</v>
      </c>
      <c r="I21" s="177" t="str">
        <f t="shared" si="0"/>
        <v>Ceredigion</v>
      </c>
      <c r="J21" s="177" t="str">
        <f t="shared" si="0"/>
        <v>Pembrokeshire</v>
      </c>
      <c r="K21" s="177" t="str">
        <f t="shared" si="0"/>
        <v>Carmarthenshire</v>
      </c>
      <c r="L21" s="177" t="str">
        <f t="shared" si="0"/>
        <v>blank</v>
      </c>
      <c r="M21" s="177" t="str">
        <f t="shared" si="0"/>
        <v>blank</v>
      </c>
      <c r="N21" s="177" t="str">
        <f t="shared" si="0"/>
        <v>blank</v>
      </c>
      <c r="O21" s="602">
        <f>SUM(M46:M49)</f>
        <v>239026.99722222227</v>
      </c>
      <c r="Q21" s="456" t="s">
        <v>3457</v>
      </c>
    </row>
    <row r="22" spans="2:23" ht="13.5" customHeight="1">
      <c r="B22" s="209">
        <v>564</v>
      </c>
      <c r="C22" s="210" t="s">
        <v>7</v>
      </c>
      <c r="D22" s="211" t="s">
        <v>238</v>
      </c>
      <c r="E22" s="619">
        <f t="shared" ref="E22:G24" si="1">E30</f>
        <v>212731.34990252831</v>
      </c>
      <c r="F22" s="580">
        <f t="shared" si="1"/>
        <v>25983256</v>
      </c>
      <c r="G22" s="620">
        <f t="shared" si="1"/>
        <v>67671718</v>
      </c>
      <c r="H22" s="177" t="str">
        <f t="shared" si="0"/>
        <v>Caerphilly</v>
      </c>
      <c r="I22" s="177" t="str">
        <f t="shared" si="0"/>
        <v>Blaenau Gwent</v>
      </c>
      <c r="J22" s="177" t="str">
        <f t="shared" si="0"/>
        <v>Torfaen</v>
      </c>
      <c r="K22" s="177" t="str">
        <f t="shared" si="0"/>
        <v>Monmouthshire</v>
      </c>
      <c r="L22" s="177" t="str">
        <f t="shared" si="0"/>
        <v>Newport</v>
      </c>
      <c r="M22" s="177" t="str">
        <f t="shared" si="0"/>
        <v>blank</v>
      </c>
      <c r="N22" s="177" t="str">
        <f t="shared" si="0"/>
        <v>blank</v>
      </c>
      <c r="O22" s="603">
        <f>SUM(M56:M60)</f>
        <v>226480.81413888891</v>
      </c>
      <c r="Q22" s="454" t="s">
        <v>119</v>
      </c>
      <c r="U22" s="7"/>
      <c r="W22" s="189"/>
    </row>
    <row r="23" spans="2:23" ht="13.5" customHeight="1">
      <c r="B23" s="209">
        <v>566</v>
      </c>
      <c r="C23" s="210" t="s">
        <v>7</v>
      </c>
      <c r="D23" s="211" t="s">
        <v>239</v>
      </c>
      <c r="E23" s="619">
        <f t="shared" si="1"/>
        <v>251452.64610704331</v>
      </c>
      <c r="F23" s="580">
        <f t="shared" si="1"/>
        <v>16109259.000000002</v>
      </c>
      <c r="G23" s="620">
        <f t="shared" si="1"/>
        <v>77650979</v>
      </c>
      <c r="H23" s="177" t="str">
        <f t="shared" si="0"/>
        <v>Isle of Anglesey</v>
      </c>
      <c r="I23" s="177" t="str">
        <f t="shared" si="0"/>
        <v>Gwynedd</v>
      </c>
      <c r="J23" s="177" t="str">
        <f t="shared" si="0"/>
        <v>Conwy</v>
      </c>
      <c r="K23" s="177" t="str">
        <f t="shared" si="0"/>
        <v>Denbighshire</v>
      </c>
      <c r="L23" s="177" t="str">
        <f t="shared" si="0"/>
        <v>Flintshire</v>
      </c>
      <c r="M23" s="177" t="str">
        <f t="shared" si="0"/>
        <v>Wrexham</v>
      </c>
      <c r="N23" s="177" t="str">
        <f t="shared" si="0"/>
        <v>blank</v>
      </c>
      <c r="O23" s="603">
        <f>SUM(M40:M45)</f>
        <v>303930.92719888885</v>
      </c>
      <c r="Q23" s="457" t="s">
        <v>3458</v>
      </c>
      <c r="U23" s="7"/>
    </row>
    <row r="24" spans="2:23" ht="13.5" customHeight="1">
      <c r="B24" s="212">
        <v>568</v>
      </c>
      <c r="C24" s="213" t="s">
        <v>7</v>
      </c>
      <c r="D24" s="214" t="s">
        <v>240</v>
      </c>
      <c r="E24" s="621">
        <f t="shared" si="1"/>
        <v>482711.25524529949</v>
      </c>
      <c r="F24" s="581">
        <f t="shared" si="1"/>
        <v>62018060</v>
      </c>
      <c r="G24" s="622">
        <f t="shared" si="1"/>
        <v>144067712</v>
      </c>
      <c r="H24" s="179" t="str">
        <f t="shared" si="0"/>
        <v>Swansea</v>
      </c>
      <c r="I24" s="179" t="str">
        <f t="shared" si="0"/>
        <v>Neath Port Talbot</v>
      </c>
      <c r="J24" s="179" t="str">
        <f t="shared" si="0"/>
        <v>Bridgend</v>
      </c>
      <c r="K24" s="179" t="str">
        <f t="shared" si="0"/>
        <v>Vale of Glamorgan</v>
      </c>
      <c r="L24" s="179" t="str">
        <f t="shared" si="0"/>
        <v>Rhondda Cynon Taf</v>
      </c>
      <c r="M24" s="179" t="str">
        <f t="shared" si="0"/>
        <v>Merthyr Tydfil</v>
      </c>
      <c r="N24" s="179" t="str">
        <f t="shared" si="0"/>
        <v>Cardiff</v>
      </c>
      <c r="O24" s="604">
        <f>SUM(M50:M55)+M61</f>
        <v>511505.32462500001</v>
      </c>
      <c r="Q24" s="453" t="s">
        <v>3459</v>
      </c>
    </row>
    <row r="25" spans="2:23" ht="13.5" customHeight="1">
      <c r="G25" s="152" t="s">
        <v>250</v>
      </c>
      <c r="H25" s="175" t="s">
        <v>32</v>
      </c>
      <c r="I25" s="175" t="s">
        <v>33</v>
      </c>
      <c r="J25" s="175" t="s">
        <v>3256</v>
      </c>
      <c r="K25" s="175" t="s">
        <v>3257</v>
      </c>
      <c r="L25" s="175" t="s">
        <v>3254</v>
      </c>
      <c r="M25" s="175" t="s">
        <v>3254</v>
      </c>
      <c r="N25" s="176" t="s">
        <v>3254</v>
      </c>
      <c r="O25" s="215"/>
    </row>
    <row r="26" spans="2:23" ht="13.5" customHeight="1">
      <c r="G26" s="155"/>
      <c r="H26" s="177" t="s">
        <v>3243</v>
      </c>
      <c r="I26" s="177" t="s">
        <v>36</v>
      </c>
      <c r="J26" s="177" t="s">
        <v>11</v>
      </c>
      <c r="K26" s="177" t="s">
        <v>3248</v>
      </c>
      <c r="L26" s="177" t="s">
        <v>3249</v>
      </c>
      <c r="M26" s="177" t="s">
        <v>3254</v>
      </c>
      <c r="N26" s="178" t="s">
        <v>3254</v>
      </c>
      <c r="O26" s="216">
        <f>SUM(O21:O24)</f>
        <v>1280944.0631849999</v>
      </c>
    </row>
    <row r="27" spans="2:23" ht="13.5" customHeight="1">
      <c r="G27" s="155"/>
      <c r="H27" s="177" t="s">
        <v>3244</v>
      </c>
      <c r="I27" s="177" t="s">
        <v>41</v>
      </c>
      <c r="J27" s="177" t="s">
        <v>8</v>
      </c>
      <c r="K27" s="177" t="s">
        <v>3305</v>
      </c>
      <c r="L27" s="177" t="s">
        <v>3307</v>
      </c>
      <c r="M27" s="177" t="s">
        <v>3250</v>
      </c>
      <c r="N27" s="178" t="s">
        <v>3254</v>
      </c>
      <c r="O27" s="217">
        <f>SUM(M40:M61)</f>
        <v>1280944.0631849999</v>
      </c>
    </row>
    <row r="28" spans="2:23" ht="13.5" customHeight="1">
      <c r="B28" s="558" t="s">
        <v>228</v>
      </c>
      <c r="G28" s="162"/>
      <c r="H28" s="179" t="s">
        <v>3245</v>
      </c>
      <c r="I28" s="179" t="s">
        <v>3246</v>
      </c>
      <c r="J28" s="179" t="s">
        <v>3247</v>
      </c>
      <c r="K28" s="179" t="s">
        <v>3306</v>
      </c>
      <c r="L28" s="179" t="s">
        <v>102</v>
      </c>
      <c r="M28" s="179" t="s">
        <v>3251</v>
      </c>
      <c r="N28" s="180" t="s">
        <v>3252</v>
      </c>
      <c r="O28" s="218">
        <f>+O26-O27</f>
        <v>0</v>
      </c>
      <c r="P28" s="14" t="s">
        <v>75</v>
      </c>
    </row>
    <row r="29" spans="2:23" ht="13.5" customHeight="1">
      <c r="B29" s="476">
        <v>562</v>
      </c>
      <c r="C29" s="477" t="s">
        <v>7</v>
      </c>
      <c r="D29" s="478" t="s">
        <v>237</v>
      </c>
      <c r="E29" s="579">
        <f t="shared" ref="E29:F32" si="2">D38*10^6</f>
        <v>192104.74874512889</v>
      </c>
      <c r="F29" s="579">
        <f t="shared" si="2"/>
        <v>8220425.0000000009</v>
      </c>
      <c r="G29" s="579">
        <f>G38*10^6</f>
        <v>56124978</v>
      </c>
      <c r="H29" s="160">
        <v>524</v>
      </c>
      <c r="I29" s="160">
        <v>526</v>
      </c>
      <c r="J29" s="160">
        <v>528</v>
      </c>
      <c r="K29" s="160">
        <v>530</v>
      </c>
      <c r="L29" s="160">
        <v>0</v>
      </c>
      <c r="M29" s="160">
        <v>0</v>
      </c>
      <c r="N29" s="160">
        <v>0</v>
      </c>
      <c r="O29" s="161">
        <v>0</v>
      </c>
    </row>
    <row r="30" spans="2:23" ht="13.5" customHeight="1">
      <c r="B30" s="479">
        <v>564</v>
      </c>
      <c r="C30" s="480" t="s">
        <v>7</v>
      </c>
      <c r="D30" s="481" t="s">
        <v>238</v>
      </c>
      <c r="E30" s="580">
        <f t="shared" si="2"/>
        <v>212731.34990252831</v>
      </c>
      <c r="F30" s="580">
        <f t="shared" si="2"/>
        <v>25983256</v>
      </c>
      <c r="G30" s="580">
        <f>G39*10^6</f>
        <v>67671718</v>
      </c>
      <c r="H30" s="156">
        <v>544</v>
      </c>
      <c r="I30" s="156">
        <v>545</v>
      </c>
      <c r="J30" s="156">
        <v>546</v>
      </c>
      <c r="K30" s="156">
        <v>548</v>
      </c>
      <c r="L30" s="156">
        <v>550</v>
      </c>
      <c r="M30" s="156">
        <v>0</v>
      </c>
      <c r="N30" s="156">
        <v>0</v>
      </c>
      <c r="O30" s="157">
        <v>0</v>
      </c>
    </row>
    <row r="31" spans="2:23" ht="13.5" customHeight="1">
      <c r="B31" s="479">
        <v>566</v>
      </c>
      <c r="C31" s="480" t="s">
        <v>7</v>
      </c>
      <c r="D31" s="481" t="s">
        <v>239</v>
      </c>
      <c r="E31" s="580">
        <f t="shared" si="2"/>
        <v>251452.64610704331</v>
      </c>
      <c r="F31" s="580">
        <f t="shared" si="2"/>
        <v>16109259.000000002</v>
      </c>
      <c r="G31" s="580">
        <f>G40*10^6</f>
        <v>77650979</v>
      </c>
      <c r="H31" s="156">
        <v>512</v>
      </c>
      <c r="I31" s="156">
        <v>514</v>
      </c>
      <c r="J31" s="156">
        <v>516</v>
      </c>
      <c r="K31" s="156">
        <v>518</v>
      </c>
      <c r="L31" s="156">
        <v>520</v>
      </c>
      <c r="M31" s="156">
        <v>522</v>
      </c>
      <c r="N31" s="156">
        <v>0</v>
      </c>
      <c r="O31" s="157">
        <v>0</v>
      </c>
    </row>
    <row r="32" spans="2:23" ht="13.5" customHeight="1">
      <c r="B32" s="482">
        <v>568</v>
      </c>
      <c r="C32" s="483" t="s">
        <v>7</v>
      </c>
      <c r="D32" s="484" t="s">
        <v>240</v>
      </c>
      <c r="E32" s="581">
        <f t="shared" si="2"/>
        <v>482711.25524529949</v>
      </c>
      <c r="F32" s="581">
        <f t="shared" si="2"/>
        <v>62018060</v>
      </c>
      <c r="G32" s="581">
        <f>G41*10^6</f>
        <v>144067712</v>
      </c>
      <c r="H32" s="163">
        <v>532</v>
      </c>
      <c r="I32" s="163">
        <v>534</v>
      </c>
      <c r="J32" s="163">
        <v>536</v>
      </c>
      <c r="K32" s="163">
        <v>538</v>
      </c>
      <c r="L32" s="163">
        <v>540</v>
      </c>
      <c r="M32" s="163">
        <v>542</v>
      </c>
      <c r="N32" s="163">
        <v>552</v>
      </c>
      <c r="O32" s="164">
        <v>0</v>
      </c>
    </row>
    <row r="34" spans="2:32" ht="13.5" customHeight="1">
      <c r="B34" s="488" t="s">
        <v>3313</v>
      </c>
      <c r="C34" s="492"/>
      <c r="D34" s="492"/>
      <c r="E34" s="705" t="s">
        <v>3563</v>
      </c>
      <c r="F34" s="705"/>
      <c r="G34" s="706"/>
      <c r="H34" s="190" t="s">
        <v>3316</v>
      </c>
      <c r="I34" s="191"/>
      <c r="J34" s="230"/>
      <c r="K34" s="360" t="s">
        <v>3445</v>
      </c>
      <c r="L34" s="4"/>
    </row>
    <row r="35" spans="2:32" ht="13.5" customHeight="1">
      <c r="B35" s="493" t="str">
        <f>"Police Funding for "&amp;J3&amp;"  - Key Information"</f>
        <v>Police Funding for 2024-25  - Key Information</v>
      </c>
      <c r="C35" s="494"/>
      <c r="D35" s="494"/>
      <c r="E35" s="707"/>
      <c r="F35" s="707"/>
      <c r="G35" s="708"/>
      <c r="H35" s="549" t="s">
        <v>3562</v>
      </c>
      <c r="I35" s="63"/>
      <c r="J35" s="552" t="str">
        <f>LEFT(I36,4)&amp;"-"&amp;RIGHT(I36,2)</f>
        <v>2024-25</v>
      </c>
    </row>
    <row r="36" spans="2:32" ht="15">
      <c r="B36" s="202"/>
      <c r="C36" s="202"/>
      <c r="D36" s="202"/>
      <c r="E36" s="202"/>
      <c r="F36" s="202"/>
      <c r="G36" s="156"/>
      <c r="H36" s="571" t="s">
        <v>56</v>
      </c>
      <c r="I36" s="572">
        <v>202425</v>
      </c>
      <c r="J36" s="204"/>
      <c r="L36" s="10" t="s">
        <v>3440</v>
      </c>
    </row>
    <row r="37" spans="2:32" ht="38.25">
      <c r="B37" s="485" t="s">
        <v>236</v>
      </c>
      <c r="C37" s="486" t="s">
        <v>3309</v>
      </c>
      <c r="D37" s="623" t="s">
        <v>3310</v>
      </c>
      <c r="E37" s="624" t="s">
        <v>3311</v>
      </c>
      <c r="F37" s="487" t="s">
        <v>3312</v>
      </c>
      <c r="G37" s="582" t="s">
        <v>3526</v>
      </c>
      <c r="H37" s="205"/>
      <c r="I37" s="205"/>
      <c r="J37" s="205"/>
      <c r="L37" s="554" t="s">
        <v>70</v>
      </c>
      <c r="M37" s="432"/>
      <c r="N37" s="555"/>
    </row>
    <row r="38" spans="2:32" ht="15.75">
      <c r="B38" s="488" t="s">
        <v>237</v>
      </c>
      <c r="C38" s="255">
        <v>25.876667478706448</v>
      </c>
      <c r="D38" s="625">
        <v>0.19210474874512889</v>
      </c>
      <c r="E38" s="626">
        <v>8.2204250000000005</v>
      </c>
      <c r="F38" s="568">
        <v>34.368364087387462</v>
      </c>
      <c r="G38" s="630">
        <v>56.124977999999999</v>
      </c>
      <c r="H38" s="629" t="s">
        <v>100</v>
      </c>
      <c r="I38" s="574"/>
      <c r="J38" s="575"/>
      <c r="K38"/>
      <c r="L38" s="434"/>
      <c r="M38" s="556" t="s">
        <v>74</v>
      </c>
      <c r="N38" s="557"/>
      <c r="O38"/>
      <c r="Z38" s="601" t="s">
        <v>3564</v>
      </c>
      <c r="AA38" s="599"/>
      <c r="AB38" s="599"/>
      <c r="AC38" s="599"/>
      <c r="AD38" s="599"/>
      <c r="AE38" s="599"/>
      <c r="AF38" s="600"/>
    </row>
    <row r="39" spans="2:32" ht="15.75">
      <c r="B39" s="489" t="s">
        <v>238</v>
      </c>
      <c r="C39" s="255">
        <v>25.170759823999855</v>
      </c>
      <c r="D39" s="625">
        <v>0.21273134990252832</v>
      </c>
      <c r="E39" s="626">
        <v>25.983256000000001</v>
      </c>
      <c r="F39" s="568">
        <v>51.239482182286103</v>
      </c>
      <c r="G39" s="630">
        <v>67.671717999999998</v>
      </c>
      <c r="H39" s="629" t="s">
        <v>55</v>
      </c>
      <c r="I39" s="573" t="s">
        <v>101</v>
      </c>
      <c r="J39" s="575" t="s">
        <v>104</v>
      </c>
      <c r="K39"/>
      <c r="L39" s="434"/>
      <c r="M39" s="605" t="str">
        <f>LEFT(I36,4)&amp;"-"&amp;RIGHT(I36,2)</f>
        <v>2024-25</v>
      </c>
      <c r="N39" s="557"/>
      <c r="O39"/>
      <c r="Q39" s="431" t="s">
        <v>55</v>
      </c>
      <c r="R39" s="432" t="s">
        <v>51</v>
      </c>
      <c r="S39" s="432" t="s">
        <v>14</v>
      </c>
      <c r="T39" s="432" t="s">
        <v>49</v>
      </c>
      <c r="U39" s="432" t="s">
        <v>50</v>
      </c>
      <c r="V39" s="433" t="s">
        <v>56</v>
      </c>
      <c r="Z39" s="590" t="s">
        <v>56</v>
      </c>
      <c r="AA39" s="591" t="s">
        <v>49</v>
      </c>
      <c r="AB39" s="591" t="s">
        <v>55</v>
      </c>
      <c r="AC39" s="591" t="s">
        <v>50</v>
      </c>
      <c r="AD39" s="591" t="s">
        <v>51</v>
      </c>
      <c r="AE39" s="591" t="s">
        <v>14</v>
      </c>
      <c r="AF39" s="433"/>
    </row>
    <row r="40" spans="2:32" ht="15.75">
      <c r="B40" s="489" t="s">
        <v>239</v>
      </c>
      <c r="C40" s="255">
        <v>33.196120616241338</v>
      </c>
      <c r="D40" s="625">
        <v>0.25145264610704332</v>
      </c>
      <c r="E40" s="626">
        <v>16.109259000000002</v>
      </c>
      <c r="F40" s="568">
        <v>49.530380656118169</v>
      </c>
      <c r="G40" s="630">
        <v>77.650979000000007</v>
      </c>
      <c r="H40" s="629">
        <v>512</v>
      </c>
      <c r="I40" s="573" t="s">
        <v>39</v>
      </c>
      <c r="J40" s="577">
        <v>33170.034722222219</v>
      </c>
      <c r="K40"/>
      <c r="L40" s="192" t="str">
        <f>H23</f>
        <v>Isle of Anglesey</v>
      </c>
      <c r="M40" s="607">
        <f t="shared" ref="M40:M61" si="3">+J40</f>
        <v>33170.034722222219</v>
      </c>
      <c r="N40" s="606">
        <v>512</v>
      </c>
      <c r="O40" s="449" t="s">
        <v>3458</v>
      </c>
      <c r="Q40" s="434">
        <v>512</v>
      </c>
      <c r="R40" s="2">
        <v>11</v>
      </c>
      <c r="S40" s="430">
        <v>31532.53</v>
      </c>
      <c r="T40" s="2" t="s">
        <v>2920</v>
      </c>
      <c r="U40" s="2">
        <v>26</v>
      </c>
      <c r="V40" s="435">
        <v>202021</v>
      </c>
      <c r="W40" s="440">
        <f t="shared" ref="W40:W61" si="4">S40-M40</f>
        <v>-1637.5047222222202</v>
      </c>
      <c r="Z40" s="592">
        <v>202425</v>
      </c>
      <c r="AA40" s="588" t="s">
        <v>2920</v>
      </c>
      <c r="AB40" s="587">
        <v>512</v>
      </c>
      <c r="AC40" s="587">
        <v>26</v>
      </c>
      <c r="AD40" s="587">
        <v>11</v>
      </c>
      <c r="AE40" s="589">
        <v>33170.034722222219</v>
      </c>
      <c r="AF40" s="593">
        <f>AE40-J40</f>
        <v>0</v>
      </c>
    </row>
    <row r="41" spans="2:32" ht="15.75">
      <c r="B41" s="489" t="s">
        <v>240</v>
      </c>
      <c r="C41" s="255">
        <v>56.849574275151667</v>
      </c>
      <c r="D41" s="625">
        <v>0.48271125524529951</v>
      </c>
      <c r="E41" s="626">
        <v>62.018059999999998</v>
      </c>
      <c r="F41" s="568">
        <v>119.42489526830755</v>
      </c>
      <c r="G41" s="630">
        <v>144.067712</v>
      </c>
      <c r="H41" s="629">
        <v>514</v>
      </c>
      <c r="I41" s="573" t="s">
        <v>41</v>
      </c>
      <c r="J41" s="577">
        <v>56109.267160000003</v>
      </c>
      <c r="K41"/>
      <c r="L41" s="155" t="str">
        <f>I23</f>
        <v>Gwynedd</v>
      </c>
      <c r="M41" s="608">
        <f t="shared" si="3"/>
        <v>56109.267160000003</v>
      </c>
      <c r="N41" s="206">
        <v>514</v>
      </c>
      <c r="O41" s="450" t="s">
        <v>3458</v>
      </c>
      <c r="Q41" s="434">
        <v>514</v>
      </c>
      <c r="R41" s="2">
        <v>11</v>
      </c>
      <c r="S41" s="430">
        <v>51917.91</v>
      </c>
      <c r="T41" s="2" t="s">
        <v>2920</v>
      </c>
      <c r="U41" s="2">
        <v>26</v>
      </c>
      <c r="V41" s="435">
        <v>202021</v>
      </c>
      <c r="W41" s="441">
        <f t="shared" si="4"/>
        <v>-4191.3571599999996</v>
      </c>
      <c r="Z41" s="592">
        <v>202425</v>
      </c>
      <c r="AA41" s="588" t="s">
        <v>2920</v>
      </c>
      <c r="AB41" s="587">
        <v>514</v>
      </c>
      <c r="AC41" s="587">
        <v>26</v>
      </c>
      <c r="AD41" s="587">
        <v>11</v>
      </c>
      <c r="AE41" s="589">
        <v>56109.267160000003</v>
      </c>
      <c r="AF41" s="593">
        <f t="shared" ref="AF41:AF62" si="5">AE41-J41</f>
        <v>0</v>
      </c>
    </row>
    <row r="42" spans="2:32" ht="15.75">
      <c r="B42" s="490" t="s">
        <v>241</v>
      </c>
      <c r="C42" s="256">
        <v>141.09312219409929</v>
      </c>
      <c r="D42" s="627">
        <v>1.139</v>
      </c>
      <c r="E42" s="628">
        <v>112.331</v>
      </c>
      <c r="F42" s="569">
        <v>254.56312219409929</v>
      </c>
      <c r="G42" s="583">
        <f>SUM(G38:G41)</f>
        <v>345.51538700000003</v>
      </c>
      <c r="H42" s="629">
        <v>516</v>
      </c>
      <c r="I42" s="573" t="s">
        <v>8</v>
      </c>
      <c r="J42" s="577">
        <v>52442.549444444448</v>
      </c>
      <c r="K42"/>
      <c r="L42" s="155" t="str">
        <f>J23</f>
        <v>Conwy</v>
      </c>
      <c r="M42" s="608">
        <f t="shared" si="3"/>
        <v>52442.549444444448</v>
      </c>
      <c r="N42" s="206">
        <v>516</v>
      </c>
      <c r="O42" s="450" t="s">
        <v>3458</v>
      </c>
      <c r="Q42" s="434">
        <v>516</v>
      </c>
      <c r="R42" s="2">
        <v>11</v>
      </c>
      <c r="S42" s="430">
        <v>50701.04</v>
      </c>
      <c r="T42" s="2" t="s">
        <v>2920</v>
      </c>
      <c r="U42" s="2">
        <v>26</v>
      </c>
      <c r="V42" s="435">
        <v>202021</v>
      </c>
      <c r="W42" s="441">
        <f t="shared" si="4"/>
        <v>-1741.5094444444476</v>
      </c>
      <c r="Z42" s="592">
        <v>202425</v>
      </c>
      <c r="AA42" s="588" t="s">
        <v>2920</v>
      </c>
      <c r="AB42" s="587">
        <v>516</v>
      </c>
      <c r="AC42" s="587">
        <v>26</v>
      </c>
      <c r="AD42" s="587">
        <v>11</v>
      </c>
      <c r="AE42" s="589">
        <v>52442.549444444448</v>
      </c>
      <c r="AF42" s="593">
        <f t="shared" si="5"/>
        <v>0</v>
      </c>
    </row>
    <row r="43" spans="2:32" ht="15.75">
      <c r="B43" s="5"/>
      <c r="C43" s="5"/>
      <c r="D43" s="5"/>
      <c r="E43" s="5"/>
      <c r="F43" s="5"/>
      <c r="H43" s="573">
        <v>518</v>
      </c>
      <c r="I43" s="573" t="s">
        <v>42</v>
      </c>
      <c r="J43" s="577">
        <v>41868.064333333336</v>
      </c>
      <c r="K43"/>
      <c r="L43" s="155" t="str">
        <f>K23</f>
        <v>Denbighshire</v>
      </c>
      <c r="M43" s="608">
        <f t="shared" si="3"/>
        <v>41868.064333333336</v>
      </c>
      <c r="N43" s="206">
        <v>518</v>
      </c>
      <c r="O43" s="450" t="s">
        <v>3458</v>
      </c>
      <c r="Q43" s="434">
        <v>518</v>
      </c>
      <c r="R43" s="2">
        <v>11</v>
      </c>
      <c r="S43" s="430">
        <v>40273.660000000003</v>
      </c>
      <c r="T43" s="2" t="s">
        <v>2920</v>
      </c>
      <c r="U43" s="2">
        <v>26</v>
      </c>
      <c r="V43" s="435">
        <v>202021</v>
      </c>
      <c r="W43" s="441">
        <f t="shared" si="4"/>
        <v>-1594.404333333332</v>
      </c>
      <c r="Z43" s="592">
        <v>202425</v>
      </c>
      <c r="AA43" s="588" t="s">
        <v>2920</v>
      </c>
      <c r="AB43" s="587">
        <v>518</v>
      </c>
      <c r="AC43" s="587">
        <v>26</v>
      </c>
      <c r="AD43" s="587">
        <v>11</v>
      </c>
      <c r="AE43" s="589">
        <v>41868.064333333336</v>
      </c>
      <c r="AF43" s="593">
        <f t="shared" si="5"/>
        <v>0</v>
      </c>
    </row>
    <row r="44" spans="2:32" ht="15.75">
      <c r="B44" s="491" t="s">
        <v>3314</v>
      </c>
      <c r="C44" s="491" t="s">
        <v>3315</v>
      </c>
      <c r="D44" s="5"/>
      <c r="E44" s="5"/>
      <c r="F44" s="5"/>
      <c r="H44" s="573">
        <v>520</v>
      </c>
      <c r="I44" s="573" t="s">
        <v>43</v>
      </c>
      <c r="J44" s="577">
        <v>66081.002288888863</v>
      </c>
      <c r="K44"/>
      <c r="L44" s="155" t="str">
        <f>L23</f>
        <v>Flintshire</v>
      </c>
      <c r="M44" s="608">
        <f t="shared" si="3"/>
        <v>66081.002288888863</v>
      </c>
      <c r="N44" s="206">
        <v>520</v>
      </c>
      <c r="O44" s="450" t="s">
        <v>3458</v>
      </c>
      <c r="Q44" s="434">
        <v>520</v>
      </c>
      <c r="R44" s="2">
        <v>11</v>
      </c>
      <c r="S44" s="430">
        <v>64554</v>
      </c>
      <c r="T44" s="2" t="s">
        <v>2920</v>
      </c>
      <c r="U44" s="2">
        <v>26</v>
      </c>
      <c r="V44" s="435">
        <v>202021</v>
      </c>
      <c r="W44" s="441">
        <f t="shared" si="4"/>
        <v>-1527.0022888888634</v>
      </c>
      <c r="Z44" s="592">
        <v>202425</v>
      </c>
      <c r="AA44" s="588" t="s">
        <v>2920</v>
      </c>
      <c r="AB44" s="587">
        <v>520</v>
      </c>
      <c r="AC44" s="587">
        <v>26</v>
      </c>
      <c r="AD44" s="587">
        <v>11</v>
      </c>
      <c r="AE44" s="589">
        <v>66081.002288888863</v>
      </c>
      <c r="AF44" s="593">
        <f t="shared" si="5"/>
        <v>0</v>
      </c>
    </row>
    <row r="45" spans="2:32" ht="15.75">
      <c r="B45" s="203" t="s">
        <v>165</v>
      </c>
      <c r="C45" s="231">
        <v>44256</v>
      </c>
      <c r="D45" s="5"/>
      <c r="E45" s="5"/>
      <c r="F45" s="5"/>
      <c r="H45" s="573">
        <v>522</v>
      </c>
      <c r="I45" s="573" t="s">
        <v>44</v>
      </c>
      <c r="J45" s="577">
        <v>54260.009249999996</v>
      </c>
      <c r="K45"/>
      <c r="L45" s="162" t="str">
        <f>M23</f>
        <v>Wrexham</v>
      </c>
      <c r="M45" s="609">
        <f t="shared" si="3"/>
        <v>54260.009249999996</v>
      </c>
      <c r="N45" s="208">
        <v>522</v>
      </c>
      <c r="O45" s="450" t="s">
        <v>3458</v>
      </c>
      <c r="Q45" s="434">
        <v>522</v>
      </c>
      <c r="R45" s="2">
        <v>11</v>
      </c>
      <c r="S45" s="430">
        <v>53475.03</v>
      </c>
      <c r="T45" s="2" t="s">
        <v>2920</v>
      </c>
      <c r="U45" s="2">
        <v>26</v>
      </c>
      <c r="V45" s="435">
        <v>202021</v>
      </c>
      <c r="W45" s="441">
        <f t="shared" si="4"/>
        <v>-784.97924999999668</v>
      </c>
      <c r="Z45" s="592">
        <v>202425</v>
      </c>
      <c r="AA45" s="588" t="s">
        <v>2920</v>
      </c>
      <c r="AB45" s="587">
        <v>522</v>
      </c>
      <c r="AC45" s="587">
        <v>26</v>
      </c>
      <c r="AD45" s="587">
        <v>11</v>
      </c>
      <c r="AE45" s="589">
        <v>54260.009249999996</v>
      </c>
      <c r="AF45" s="593">
        <f t="shared" si="5"/>
        <v>0</v>
      </c>
    </row>
    <row r="46" spans="2:32" ht="15.75">
      <c r="H46" s="573">
        <v>524</v>
      </c>
      <c r="I46" s="573" t="s">
        <v>32</v>
      </c>
      <c r="J46" s="577">
        <v>64536.477638888893</v>
      </c>
      <c r="K46"/>
      <c r="L46" s="192" t="str">
        <f>H21</f>
        <v>Powys</v>
      </c>
      <c r="M46" s="607">
        <f t="shared" si="3"/>
        <v>64536.477638888893</v>
      </c>
      <c r="N46" s="606">
        <v>524</v>
      </c>
      <c r="O46" s="447" t="s">
        <v>3457</v>
      </c>
      <c r="Q46" s="434">
        <v>524</v>
      </c>
      <c r="R46" s="2">
        <v>11</v>
      </c>
      <c r="S46" s="430">
        <v>62396.7</v>
      </c>
      <c r="T46" s="2" t="s">
        <v>2920</v>
      </c>
      <c r="U46" s="2">
        <v>26</v>
      </c>
      <c r="V46" s="435">
        <v>202021</v>
      </c>
      <c r="W46" s="441">
        <f t="shared" si="4"/>
        <v>-2139.777638888896</v>
      </c>
      <c r="X46" s="443">
        <v>62396.7</v>
      </c>
      <c r="Y46" s="584">
        <f>X46-S46</f>
        <v>0</v>
      </c>
      <c r="Z46" s="592">
        <v>202425</v>
      </c>
      <c r="AA46" s="588" t="s">
        <v>2920</v>
      </c>
      <c r="AB46" s="587">
        <v>524</v>
      </c>
      <c r="AC46" s="587">
        <v>26</v>
      </c>
      <c r="AD46" s="587">
        <v>11</v>
      </c>
      <c r="AE46" s="589">
        <v>64536.477638888893</v>
      </c>
      <c r="AF46" s="593">
        <f t="shared" si="5"/>
        <v>0</v>
      </c>
    </row>
    <row r="47" spans="2:32" ht="15.75">
      <c r="H47" s="573">
        <v>526</v>
      </c>
      <c r="I47" s="573" t="s">
        <v>33</v>
      </c>
      <c r="J47" s="577">
        <v>33768.508750000008</v>
      </c>
      <c r="K47"/>
      <c r="L47" s="155" t="str">
        <f>I21</f>
        <v>Ceredigion</v>
      </c>
      <c r="M47" s="608">
        <f t="shared" si="3"/>
        <v>33768.508750000008</v>
      </c>
      <c r="N47" s="206">
        <v>526</v>
      </c>
      <c r="O47" s="448" t="s">
        <v>3457</v>
      </c>
      <c r="Q47" s="434">
        <v>526</v>
      </c>
      <c r="R47" s="2">
        <v>11</v>
      </c>
      <c r="S47" s="430">
        <v>31936.27</v>
      </c>
      <c r="T47" s="2" t="s">
        <v>2920</v>
      </c>
      <c r="U47" s="2">
        <v>26</v>
      </c>
      <c r="V47" s="435">
        <v>202021</v>
      </c>
      <c r="W47" s="441">
        <f t="shared" si="4"/>
        <v>-1832.2387500000077</v>
      </c>
      <c r="X47" s="444">
        <v>31936.27</v>
      </c>
      <c r="Y47" s="585">
        <f t="shared" ref="Y47:Y49" si="6">X47-S47</f>
        <v>0</v>
      </c>
      <c r="Z47" s="592">
        <v>202425</v>
      </c>
      <c r="AA47" s="588" t="s">
        <v>2920</v>
      </c>
      <c r="AB47" s="587">
        <v>526</v>
      </c>
      <c r="AC47" s="587">
        <v>26</v>
      </c>
      <c r="AD47" s="587">
        <v>11</v>
      </c>
      <c r="AE47" s="589">
        <v>33768.508750000008</v>
      </c>
      <c r="AF47" s="593">
        <f t="shared" si="5"/>
        <v>0</v>
      </c>
    </row>
    <row r="48" spans="2:32" ht="15.75">
      <c r="H48" s="573">
        <v>528</v>
      </c>
      <c r="I48" s="573" t="s">
        <v>34</v>
      </c>
      <c r="J48" s="577">
        <v>64261.611666666679</v>
      </c>
      <c r="K48"/>
      <c r="L48" s="155" t="str">
        <f>J21</f>
        <v>Pembrokeshire</v>
      </c>
      <c r="M48" s="608">
        <f t="shared" si="3"/>
        <v>64261.611666666679</v>
      </c>
      <c r="N48" s="206">
        <v>528</v>
      </c>
      <c r="O48" s="448" t="s">
        <v>3457</v>
      </c>
      <c r="Q48" s="434">
        <v>528</v>
      </c>
      <c r="R48" s="2">
        <v>11</v>
      </c>
      <c r="S48" s="430">
        <v>57301.64</v>
      </c>
      <c r="T48" s="2" t="s">
        <v>2920</v>
      </c>
      <c r="U48" s="2">
        <v>26</v>
      </c>
      <c r="V48" s="435">
        <v>202021</v>
      </c>
      <c r="W48" s="441">
        <f t="shared" si="4"/>
        <v>-6959.9716666666791</v>
      </c>
      <c r="X48" s="444">
        <v>57301.64</v>
      </c>
      <c r="Y48" s="585">
        <f t="shared" si="6"/>
        <v>0</v>
      </c>
      <c r="Z48" s="592">
        <v>202425</v>
      </c>
      <c r="AA48" s="588" t="s">
        <v>2920</v>
      </c>
      <c r="AB48" s="587">
        <v>528</v>
      </c>
      <c r="AC48" s="587">
        <v>26</v>
      </c>
      <c r="AD48" s="587">
        <v>11</v>
      </c>
      <c r="AE48" s="589">
        <v>64261.611666666679</v>
      </c>
      <c r="AF48" s="593">
        <f t="shared" si="5"/>
        <v>0</v>
      </c>
    </row>
    <row r="49" spans="2:32" ht="15.75">
      <c r="B49" s="558" t="s">
        <v>226</v>
      </c>
      <c r="G49" s="553"/>
      <c r="H49" s="573">
        <v>530</v>
      </c>
      <c r="I49" s="573" t="s">
        <v>15</v>
      </c>
      <c r="J49" s="577">
        <v>76460.399166666655</v>
      </c>
      <c r="K49"/>
      <c r="L49" s="162" t="str">
        <f>K21</f>
        <v>Carmarthenshire</v>
      </c>
      <c r="M49" s="609">
        <f t="shared" si="3"/>
        <v>76460.399166666655</v>
      </c>
      <c r="N49" s="208">
        <v>530</v>
      </c>
      <c r="O49" s="448" t="s">
        <v>3457</v>
      </c>
      <c r="Q49" s="434">
        <v>530</v>
      </c>
      <c r="R49" s="2">
        <v>11</v>
      </c>
      <c r="S49" s="430">
        <v>74006.63</v>
      </c>
      <c r="T49" s="2" t="s">
        <v>2920</v>
      </c>
      <c r="U49" s="2">
        <v>26</v>
      </c>
      <c r="V49" s="435">
        <v>202021</v>
      </c>
      <c r="W49" s="441">
        <f t="shared" si="4"/>
        <v>-2453.7691666666506</v>
      </c>
      <c r="X49" s="445">
        <v>74006.63</v>
      </c>
      <c r="Y49" s="586">
        <f t="shared" si="6"/>
        <v>0</v>
      </c>
      <c r="Z49" s="592">
        <v>202425</v>
      </c>
      <c r="AA49" s="588" t="s">
        <v>2920</v>
      </c>
      <c r="AB49" s="587">
        <v>530</v>
      </c>
      <c r="AC49" s="587">
        <v>26</v>
      </c>
      <c r="AD49" s="587">
        <v>11</v>
      </c>
      <c r="AE49" s="589">
        <v>76460.399166666655</v>
      </c>
      <c r="AF49" s="593">
        <f t="shared" si="5"/>
        <v>0</v>
      </c>
    </row>
    <row r="50" spans="2:32" ht="15.75">
      <c r="B50" s="152" t="s">
        <v>5</v>
      </c>
      <c r="C50" s="153" t="s">
        <v>0</v>
      </c>
      <c r="D50" s="153" t="s">
        <v>6</v>
      </c>
      <c r="E50" s="153" t="s">
        <v>3229</v>
      </c>
      <c r="F50" s="154" t="s">
        <v>3230</v>
      </c>
      <c r="G50" s="156"/>
      <c r="H50" s="573">
        <v>532</v>
      </c>
      <c r="I50" s="573" t="s">
        <v>40</v>
      </c>
      <c r="J50" s="577">
        <v>93802.826666666675</v>
      </c>
      <c r="K50"/>
      <c r="L50" s="192" t="str">
        <f>H24</f>
        <v>Swansea</v>
      </c>
      <c r="M50" s="607">
        <f t="shared" si="3"/>
        <v>93802.826666666675</v>
      </c>
      <c r="N50" s="606">
        <v>532</v>
      </c>
      <c r="O50" s="451" t="s">
        <v>3459</v>
      </c>
      <c r="Q50" s="434">
        <v>532</v>
      </c>
      <c r="R50" s="2">
        <v>11</v>
      </c>
      <c r="S50" s="430">
        <v>91923.49</v>
      </c>
      <c r="T50" s="2" t="s">
        <v>2920</v>
      </c>
      <c r="U50" s="2">
        <v>26</v>
      </c>
      <c r="V50" s="435">
        <v>202021</v>
      </c>
      <c r="W50" s="441">
        <f t="shared" si="4"/>
        <v>-1879.3366666666698</v>
      </c>
      <c r="Z50" s="592">
        <v>202425</v>
      </c>
      <c r="AA50" s="588" t="s">
        <v>2920</v>
      </c>
      <c r="AB50" s="587">
        <v>532</v>
      </c>
      <c r="AC50" s="587">
        <v>26</v>
      </c>
      <c r="AD50" s="587">
        <v>11</v>
      </c>
      <c r="AE50" s="589">
        <v>93802.826666666675</v>
      </c>
      <c r="AF50" s="593">
        <f t="shared" si="5"/>
        <v>0</v>
      </c>
    </row>
    <row r="51" spans="2:32" ht="15.75">
      <c r="B51" s="155">
        <v>1</v>
      </c>
      <c r="C51" s="156">
        <v>0</v>
      </c>
      <c r="D51" s="156" t="s">
        <v>3308</v>
      </c>
      <c r="E51" s="156" t="s">
        <v>1587</v>
      </c>
      <c r="F51" s="157" t="str">
        <f>IF($G$2=2,D51,E51)</f>
        <v>Please select your region on the FrontPage</v>
      </c>
      <c r="G51" s="156"/>
      <c r="H51" s="573">
        <v>534</v>
      </c>
      <c r="I51" s="573" t="s">
        <v>45</v>
      </c>
      <c r="J51" s="577">
        <v>48827.465555555551</v>
      </c>
      <c r="K51"/>
      <c r="L51" s="155" t="str">
        <f>I24</f>
        <v>Neath Port Talbot</v>
      </c>
      <c r="M51" s="608">
        <f t="shared" si="3"/>
        <v>48827.465555555551</v>
      </c>
      <c r="N51" s="206">
        <v>534</v>
      </c>
      <c r="O51" s="452" t="s">
        <v>3459</v>
      </c>
      <c r="Q51" s="434">
        <v>534</v>
      </c>
      <c r="R51" s="2">
        <v>11</v>
      </c>
      <c r="S51" s="430">
        <v>48098.04</v>
      </c>
      <c r="T51" s="2" t="s">
        <v>2920</v>
      </c>
      <c r="U51" s="2">
        <v>26</v>
      </c>
      <c r="V51" s="435">
        <v>202021</v>
      </c>
      <c r="W51" s="441">
        <f t="shared" si="4"/>
        <v>-729.42555555555009</v>
      </c>
      <c r="Z51" s="592">
        <v>202425</v>
      </c>
      <c r="AA51" s="588" t="s">
        <v>2920</v>
      </c>
      <c r="AB51" s="587">
        <v>534</v>
      </c>
      <c r="AC51" s="587">
        <v>26</v>
      </c>
      <c r="AD51" s="587">
        <v>11</v>
      </c>
      <c r="AE51" s="589">
        <v>48827.465555555551</v>
      </c>
      <c r="AF51" s="593">
        <f t="shared" si="5"/>
        <v>0</v>
      </c>
    </row>
    <row r="52" spans="2:32" ht="15.75">
      <c r="B52" s="155">
        <v>2</v>
      </c>
      <c r="C52" s="156">
        <v>562</v>
      </c>
      <c r="D52" s="156" t="s">
        <v>213</v>
      </c>
      <c r="E52" s="156" t="s">
        <v>3231</v>
      </c>
      <c r="F52" s="157" t="str">
        <f>IF($G$2=2,D52,E52)</f>
        <v>Office of the Police and Crime Commissioner for Dyfed Powys</v>
      </c>
      <c r="G52" s="156"/>
      <c r="H52" s="573">
        <v>536</v>
      </c>
      <c r="I52" s="573" t="s">
        <v>10</v>
      </c>
      <c r="J52" s="577">
        <v>55465.691666666673</v>
      </c>
      <c r="K52"/>
      <c r="L52" s="155" t="str">
        <f>J24</f>
        <v>Bridgend</v>
      </c>
      <c r="M52" s="608">
        <f t="shared" si="3"/>
        <v>55465.691666666673</v>
      </c>
      <c r="N52" s="206">
        <v>536</v>
      </c>
      <c r="O52" s="452" t="s">
        <v>3459</v>
      </c>
      <c r="Q52" s="434">
        <v>536</v>
      </c>
      <c r="R52" s="2">
        <v>11</v>
      </c>
      <c r="S52" s="430">
        <v>54492.29</v>
      </c>
      <c r="T52" s="2" t="s">
        <v>2920</v>
      </c>
      <c r="U52" s="2">
        <v>26</v>
      </c>
      <c r="V52" s="435">
        <v>202021</v>
      </c>
      <c r="W52" s="441">
        <f t="shared" si="4"/>
        <v>-973.4016666666721</v>
      </c>
      <c r="Z52" s="592">
        <v>202425</v>
      </c>
      <c r="AA52" s="588" t="s">
        <v>2920</v>
      </c>
      <c r="AB52" s="587">
        <v>536</v>
      </c>
      <c r="AC52" s="587">
        <v>26</v>
      </c>
      <c r="AD52" s="587">
        <v>11</v>
      </c>
      <c r="AE52" s="589">
        <v>55465.691666666673</v>
      </c>
      <c r="AF52" s="593">
        <f t="shared" si="5"/>
        <v>0</v>
      </c>
    </row>
    <row r="53" spans="2:32" ht="15.75">
      <c r="B53" s="155">
        <v>3</v>
      </c>
      <c r="C53" s="156">
        <v>564</v>
      </c>
      <c r="D53" s="156" t="s">
        <v>214</v>
      </c>
      <c r="E53" s="156" t="s">
        <v>3232</v>
      </c>
      <c r="F53" s="157" t="str">
        <f>IF($G$2=2,D53,E53)</f>
        <v>Office of the Police and Crime Commissioner for Gwent</v>
      </c>
      <c r="G53" s="156"/>
      <c r="H53" s="573">
        <v>538</v>
      </c>
      <c r="I53" s="573" t="s">
        <v>58</v>
      </c>
      <c r="J53" s="577">
        <v>63396.529694444442</v>
      </c>
      <c r="K53"/>
      <c r="L53" s="155" t="str">
        <f>K24</f>
        <v>Vale of Glamorgan</v>
      </c>
      <c r="M53" s="608">
        <f t="shared" si="3"/>
        <v>63396.529694444442</v>
      </c>
      <c r="N53" s="206">
        <v>538</v>
      </c>
      <c r="O53" s="452" t="s">
        <v>3459</v>
      </c>
      <c r="Q53" s="434">
        <v>538</v>
      </c>
      <c r="R53" s="2">
        <v>11</v>
      </c>
      <c r="S53" s="430">
        <v>60806.450000000004</v>
      </c>
      <c r="T53" s="2" t="s">
        <v>2920</v>
      </c>
      <c r="U53" s="2">
        <v>26</v>
      </c>
      <c r="V53" s="435">
        <v>202021</v>
      </c>
      <c r="W53" s="441">
        <f t="shared" si="4"/>
        <v>-2590.0796944444373</v>
      </c>
      <c r="Z53" s="592">
        <v>202425</v>
      </c>
      <c r="AA53" s="588" t="s">
        <v>2920</v>
      </c>
      <c r="AB53" s="587">
        <v>538</v>
      </c>
      <c r="AC53" s="587">
        <v>26</v>
      </c>
      <c r="AD53" s="587">
        <v>11</v>
      </c>
      <c r="AE53" s="589">
        <v>63396.529694444442</v>
      </c>
      <c r="AF53" s="593">
        <f t="shared" si="5"/>
        <v>0</v>
      </c>
    </row>
    <row r="54" spans="2:32" ht="15.75">
      <c r="B54" s="155">
        <v>4</v>
      </c>
      <c r="C54" s="156">
        <v>566</v>
      </c>
      <c r="D54" s="156" t="s">
        <v>215</v>
      </c>
      <c r="E54" s="156" t="s">
        <v>3233</v>
      </c>
      <c r="F54" s="157" t="str">
        <f>IF($G$2=2,D54,E54)</f>
        <v>Office of the Police and Crime Commissioner for North Wales</v>
      </c>
      <c r="G54" s="156"/>
      <c r="H54" s="573">
        <v>540</v>
      </c>
      <c r="I54" s="573" t="s">
        <v>102</v>
      </c>
      <c r="J54" s="577">
        <v>79696.88826388889</v>
      </c>
      <c r="K54"/>
      <c r="L54" s="155" t="str">
        <f>L24</f>
        <v>Rhondda Cynon Taf</v>
      </c>
      <c r="M54" s="608">
        <f t="shared" si="3"/>
        <v>79696.88826388889</v>
      </c>
      <c r="N54" s="206">
        <v>540</v>
      </c>
      <c r="O54" s="452" t="s">
        <v>3459</v>
      </c>
      <c r="Q54" s="434">
        <v>540</v>
      </c>
      <c r="R54" s="2">
        <v>11</v>
      </c>
      <c r="S54" s="430">
        <v>77334.38</v>
      </c>
      <c r="T54" s="2" t="s">
        <v>2920</v>
      </c>
      <c r="U54" s="2">
        <v>26</v>
      </c>
      <c r="V54" s="435">
        <v>202021</v>
      </c>
      <c r="W54" s="441">
        <f t="shared" si="4"/>
        <v>-2362.5082638888853</v>
      </c>
      <c r="Z54" s="592">
        <v>202425</v>
      </c>
      <c r="AA54" s="588" t="s">
        <v>2920</v>
      </c>
      <c r="AB54" s="587">
        <v>540</v>
      </c>
      <c r="AC54" s="587">
        <v>26</v>
      </c>
      <c r="AD54" s="587">
        <v>11</v>
      </c>
      <c r="AE54" s="589">
        <v>79696.88826388889</v>
      </c>
      <c r="AF54" s="593">
        <f t="shared" si="5"/>
        <v>0</v>
      </c>
    </row>
    <row r="55" spans="2:32" ht="15.75">
      <c r="B55" s="162">
        <v>5</v>
      </c>
      <c r="C55" s="163">
        <v>568</v>
      </c>
      <c r="D55" s="163" t="s">
        <v>216</v>
      </c>
      <c r="E55" s="163" t="s">
        <v>3234</v>
      </c>
      <c r="F55" s="164" t="str">
        <f>IF($G$2=2,D55,E55)</f>
        <v>Office of the Police and Crime Commissioner for South Wales</v>
      </c>
      <c r="G55" s="559"/>
      <c r="H55" s="573">
        <v>542</v>
      </c>
      <c r="I55" s="573" t="s">
        <v>47</v>
      </c>
      <c r="J55" s="577">
        <v>18943.919999999995</v>
      </c>
      <c r="K55"/>
      <c r="L55" s="162" t="str">
        <f>M24</f>
        <v>Merthyr Tydfil</v>
      </c>
      <c r="M55" s="609">
        <f t="shared" si="3"/>
        <v>18943.919999999995</v>
      </c>
      <c r="N55" s="208">
        <v>542</v>
      </c>
      <c r="O55" s="453" t="s">
        <v>3459</v>
      </c>
      <c r="Q55" s="434">
        <v>542</v>
      </c>
      <c r="R55" s="2">
        <v>11</v>
      </c>
      <c r="S55" s="430">
        <v>18400.53</v>
      </c>
      <c r="T55" s="2" t="s">
        <v>2920</v>
      </c>
      <c r="U55" s="2">
        <v>26</v>
      </c>
      <c r="V55" s="435">
        <v>202021</v>
      </c>
      <c r="W55" s="441">
        <f t="shared" si="4"/>
        <v>-543.38999999999578</v>
      </c>
      <c r="Z55" s="592">
        <v>202425</v>
      </c>
      <c r="AA55" s="588" t="s">
        <v>2920</v>
      </c>
      <c r="AB55" s="587">
        <v>542</v>
      </c>
      <c r="AC55" s="587">
        <v>26</v>
      </c>
      <c r="AD55" s="587">
        <v>11</v>
      </c>
      <c r="AE55" s="589">
        <v>18943.919999999995</v>
      </c>
      <c r="AF55" s="593">
        <f t="shared" si="5"/>
        <v>0</v>
      </c>
    </row>
    <row r="56" spans="2:32" ht="15.75">
      <c r="H56" s="573">
        <v>544</v>
      </c>
      <c r="I56" s="573" t="s">
        <v>35</v>
      </c>
      <c r="J56" s="577">
        <v>61292.661083333325</v>
      </c>
      <c r="K56"/>
      <c r="L56" s="192" t="str">
        <f>H22</f>
        <v>Caerphilly</v>
      </c>
      <c r="M56" s="607">
        <f t="shared" si="3"/>
        <v>61292.661083333325</v>
      </c>
      <c r="N56" s="606">
        <v>544</v>
      </c>
      <c r="O56" s="454" t="s">
        <v>119</v>
      </c>
      <c r="Q56" s="434">
        <v>544</v>
      </c>
      <c r="R56" s="2">
        <v>11</v>
      </c>
      <c r="S56" s="430">
        <v>60549.25</v>
      </c>
      <c r="T56" s="2" t="s">
        <v>2920</v>
      </c>
      <c r="U56" s="2">
        <v>26</v>
      </c>
      <c r="V56" s="435">
        <v>202021</v>
      </c>
      <c r="W56" s="441">
        <f t="shared" si="4"/>
        <v>-743.41108333332522</v>
      </c>
      <c r="Z56" s="592">
        <v>202425</v>
      </c>
      <c r="AA56" s="588" t="s">
        <v>2920</v>
      </c>
      <c r="AB56" s="587">
        <v>544</v>
      </c>
      <c r="AC56" s="587">
        <v>26</v>
      </c>
      <c r="AD56" s="587">
        <v>11</v>
      </c>
      <c r="AE56" s="589">
        <v>61292.661083333325</v>
      </c>
      <c r="AF56" s="593">
        <f t="shared" si="5"/>
        <v>0</v>
      </c>
    </row>
    <row r="57" spans="2:32" ht="15.75">
      <c r="H57" s="573">
        <v>545</v>
      </c>
      <c r="I57" s="573" t="s">
        <v>36</v>
      </c>
      <c r="J57" s="577">
        <v>20936.358888888888</v>
      </c>
      <c r="K57"/>
      <c r="L57" s="155" t="str">
        <f>I22</f>
        <v>Blaenau Gwent</v>
      </c>
      <c r="M57" s="608">
        <f t="shared" si="3"/>
        <v>20936.358888888888</v>
      </c>
      <c r="N57" s="206">
        <v>545</v>
      </c>
      <c r="O57" s="454" t="s">
        <v>119</v>
      </c>
      <c r="Q57" s="434">
        <v>545</v>
      </c>
      <c r="R57" s="2">
        <v>11</v>
      </c>
      <c r="S57" s="430">
        <v>20662.439999999999</v>
      </c>
      <c r="T57" s="2" t="s">
        <v>2920</v>
      </c>
      <c r="U57" s="2">
        <v>26</v>
      </c>
      <c r="V57" s="435">
        <v>202021</v>
      </c>
      <c r="W57" s="441">
        <f t="shared" si="4"/>
        <v>-273.91888888888934</v>
      </c>
      <c r="Z57" s="592">
        <v>202425</v>
      </c>
      <c r="AA57" s="588" t="s">
        <v>2920</v>
      </c>
      <c r="AB57" s="587">
        <v>545</v>
      </c>
      <c r="AC57" s="587">
        <v>26</v>
      </c>
      <c r="AD57" s="587">
        <v>11</v>
      </c>
      <c r="AE57" s="589">
        <v>20936.358888888888</v>
      </c>
      <c r="AF57" s="593">
        <f t="shared" si="5"/>
        <v>0</v>
      </c>
    </row>
    <row r="58" spans="2:32" ht="15.75">
      <c r="H58" s="573">
        <v>546</v>
      </c>
      <c r="I58" s="573" t="s">
        <v>11</v>
      </c>
      <c r="J58" s="577">
        <v>34457.262777777782</v>
      </c>
      <c r="K58"/>
      <c r="L58" s="155" t="str">
        <f>J22</f>
        <v>Torfaen</v>
      </c>
      <c r="M58" s="608">
        <f t="shared" si="3"/>
        <v>34457.262777777782</v>
      </c>
      <c r="N58" s="206">
        <v>546</v>
      </c>
      <c r="O58" s="454" t="s">
        <v>119</v>
      </c>
      <c r="Q58" s="434">
        <v>546</v>
      </c>
      <c r="R58" s="2">
        <v>11</v>
      </c>
      <c r="S58" s="430">
        <v>33981.81</v>
      </c>
      <c r="T58" s="2" t="s">
        <v>2920</v>
      </c>
      <c r="U58" s="2">
        <v>26</v>
      </c>
      <c r="V58" s="435">
        <v>202021</v>
      </c>
      <c r="W58" s="441">
        <f t="shared" si="4"/>
        <v>-475.45277777778392</v>
      </c>
      <c r="Z58" s="592">
        <v>202425</v>
      </c>
      <c r="AA58" s="588" t="s">
        <v>2920</v>
      </c>
      <c r="AB58" s="587">
        <v>546</v>
      </c>
      <c r="AC58" s="587">
        <v>26</v>
      </c>
      <c r="AD58" s="587">
        <v>11</v>
      </c>
      <c r="AE58" s="589">
        <v>34457.262777777782</v>
      </c>
      <c r="AF58" s="593">
        <f t="shared" si="5"/>
        <v>0</v>
      </c>
    </row>
    <row r="59" spans="2:32" ht="15.75">
      <c r="H59" s="573">
        <v>548</v>
      </c>
      <c r="I59" s="573" t="s">
        <v>37</v>
      </c>
      <c r="J59" s="577">
        <v>48465.532500000008</v>
      </c>
      <c r="K59"/>
      <c r="L59" s="155" t="str">
        <f>K22</f>
        <v>Monmouthshire</v>
      </c>
      <c r="M59" s="608">
        <f t="shared" si="3"/>
        <v>48465.532500000008</v>
      </c>
      <c r="N59" s="206">
        <v>548</v>
      </c>
      <c r="O59" s="454" t="s">
        <v>119</v>
      </c>
      <c r="Q59" s="434">
        <v>548</v>
      </c>
      <c r="R59" s="2">
        <v>11</v>
      </c>
      <c r="S59" s="430">
        <v>46331.92</v>
      </c>
      <c r="T59" s="2" t="s">
        <v>2920</v>
      </c>
      <c r="U59" s="2">
        <v>26</v>
      </c>
      <c r="V59" s="435">
        <v>202021</v>
      </c>
      <c r="W59" s="441">
        <f t="shared" si="4"/>
        <v>-2133.6125000000102</v>
      </c>
      <c r="Z59" s="592">
        <v>202425</v>
      </c>
      <c r="AA59" s="588" t="s">
        <v>2920</v>
      </c>
      <c r="AB59" s="587">
        <v>548</v>
      </c>
      <c r="AC59" s="587">
        <v>26</v>
      </c>
      <c r="AD59" s="587">
        <v>11</v>
      </c>
      <c r="AE59" s="589">
        <v>48465.532500000008</v>
      </c>
      <c r="AF59" s="593">
        <f t="shared" si="5"/>
        <v>0</v>
      </c>
    </row>
    <row r="60" spans="2:32" ht="15.75">
      <c r="H60" s="573">
        <v>550</v>
      </c>
      <c r="I60" s="573" t="s">
        <v>38</v>
      </c>
      <c r="J60" s="577">
        <v>61328.998888888891</v>
      </c>
      <c r="K60"/>
      <c r="L60" s="162" t="str">
        <f>L22</f>
        <v>Newport</v>
      </c>
      <c r="M60" s="609">
        <f t="shared" si="3"/>
        <v>61328.998888888891</v>
      </c>
      <c r="N60" s="208">
        <v>550</v>
      </c>
      <c r="O60" s="454" t="s">
        <v>119</v>
      </c>
      <c r="Q60" s="434">
        <v>550</v>
      </c>
      <c r="R60" s="2">
        <v>11</v>
      </c>
      <c r="S60" s="430">
        <v>60267.55</v>
      </c>
      <c r="T60" s="2" t="s">
        <v>2920</v>
      </c>
      <c r="U60" s="2">
        <v>26</v>
      </c>
      <c r="V60" s="435">
        <v>202021</v>
      </c>
      <c r="W60" s="441">
        <f t="shared" si="4"/>
        <v>-1061.4488888888882</v>
      </c>
      <c r="Z60" s="592">
        <v>202425</v>
      </c>
      <c r="AA60" s="588" t="s">
        <v>2920</v>
      </c>
      <c r="AB60" s="587">
        <v>550</v>
      </c>
      <c r="AC60" s="587">
        <v>26</v>
      </c>
      <c r="AD60" s="587">
        <v>11</v>
      </c>
      <c r="AE60" s="589">
        <v>61328.998888888891</v>
      </c>
      <c r="AF60" s="593">
        <f t="shared" si="5"/>
        <v>0</v>
      </c>
    </row>
    <row r="61" spans="2:32" ht="15.75">
      <c r="H61" s="573">
        <v>552</v>
      </c>
      <c r="I61" s="573" t="s">
        <v>46</v>
      </c>
      <c r="J61" s="577">
        <v>151372.00277777779</v>
      </c>
      <c r="K61"/>
      <c r="L61" s="610" t="str">
        <f>N24</f>
        <v>Cardiff</v>
      </c>
      <c r="M61" s="612">
        <f t="shared" si="3"/>
        <v>151372.00277777779</v>
      </c>
      <c r="N61" s="611">
        <v>552</v>
      </c>
      <c r="O61" s="455" t="s">
        <v>3459</v>
      </c>
      <c r="Q61" s="434">
        <v>552</v>
      </c>
      <c r="R61" s="2">
        <v>11</v>
      </c>
      <c r="S61" s="430">
        <v>147276.56</v>
      </c>
      <c r="T61" s="2" t="s">
        <v>2920</v>
      </c>
      <c r="U61" s="2">
        <v>26</v>
      </c>
      <c r="V61" s="435">
        <v>202021</v>
      </c>
      <c r="W61" s="442">
        <f t="shared" si="4"/>
        <v>-4095.4427777777892</v>
      </c>
      <c r="Z61" s="592">
        <v>202425</v>
      </c>
      <c r="AA61" s="588" t="s">
        <v>2920</v>
      </c>
      <c r="AB61" s="587">
        <v>552</v>
      </c>
      <c r="AC61" s="587">
        <v>26</v>
      </c>
      <c r="AD61" s="587">
        <v>11</v>
      </c>
      <c r="AE61" s="589">
        <v>151372.00277777779</v>
      </c>
      <c r="AF61" s="593">
        <f t="shared" si="5"/>
        <v>0</v>
      </c>
    </row>
    <row r="62" spans="2:32" ht="15.75">
      <c r="H62" s="576">
        <v>596</v>
      </c>
      <c r="I62" s="576" t="s">
        <v>103</v>
      </c>
      <c r="J62" s="578">
        <v>1280944.0631849999</v>
      </c>
      <c r="K62"/>
      <c r="L62" s="162" t="str">
        <f>N21</f>
        <v>blank</v>
      </c>
      <c r="M62" s="207">
        <v>0</v>
      </c>
      <c r="N62" s="208">
        <v>0</v>
      </c>
      <c r="O62"/>
      <c r="Q62" s="436">
        <v>596</v>
      </c>
      <c r="R62" s="437">
        <v>11</v>
      </c>
      <c r="S62" s="438">
        <v>1238220.1200000001</v>
      </c>
      <c r="T62" s="437" t="s">
        <v>2920</v>
      </c>
      <c r="U62" s="437">
        <v>26</v>
      </c>
      <c r="V62" s="439">
        <v>202021</v>
      </c>
      <c r="W62" s="430"/>
      <c r="Z62" s="594">
        <v>202425</v>
      </c>
      <c r="AA62" s="595" t="s">
        <v>2920</v>
      </c>
      <c r="AB62" s="596">
        <v>596</v>
      </c>
      <c r="AC62" s="596">
        <v>26</v>
      </c>
      <c r="AD62" s="596">
        <v>11</v>
      </c>
      <c r="AE62" s="597">
        <v>1280944.0631849999</v>
      </c>
      <c r="AF62" s="598">
        <f t="shared" si="5"/>
        <v>0</v>
      </c>
    </row>
    <row r="64" spans="2:32" ht="13.5" customHeight="1">
      <c r="C64" s="284" t="s">
        <v>3545</v>
      </c>
      <c r="G64" s="570" t="s">
        <v>3561</v>
      </c>
      <c r="Q64" s="11"/>
      <c r="R64" s="11"/>
      <c r="S64" s="11"/>
      <c r="T64" s="7"/>
    </row>
    <row r="65" spans="3:28" ht="13.5" customHeight="1">
      <c r="Q65" s="20"/>
      <c r="R65" s="20"/>
      <c r="S65" s="20"/>
      <c r="T65" s="7"/>
    </row>
    <row r="66" spans="3:28" ht="13.5" customHeight="1">
      <c r="C66" s="1" t="s">
        <v>3546</v>
      </c>
      <c r="D66" s="1"/>
      <c r="E66" s="1"/>
      <c r="F66" s="1"/>
      <c r="G66" s="1"/>
      <c r="Q66" s="20"/>
      <c r="R66" s="20"/>
      <c r="S66" s="20"/>
      <c r="T66" s="467"/>
    </row>
    <row r="67" spans="3:28" ht="13.5" customHeight="1">
      <c r="C67" s="1" t="s">
        <v>3547</v>
      </c>
      <c r="D67" s="1"/>
      <c r="E67" s="1"/>
      <c r="F67" s="1"/>
      <c r="G67" s="1"/>
      <c r="Q67" s="20"/>
      <c r="R67" s="20"/>
      <c r="S67" s="20"/>
      <c r="T67" s="702"/>
      <c r="U67" s="702"/>
      <c r="V67" s="702"/>
      <c r="W67" s="703"/>
      <c r="X67" s="703"/>
      <c r="Y67" s="703"/>
      <c r="Z67" s="703"/>
      <c r="AA67" s="703"/>
      <c r="AB67" s="703"/>
    </row>
    <row r="68" spans="3:28" ht="13.5" customHeight="1">
      <c r="C68" s="1" t="s">
        <v>3548</v>
      </c>
      <c r="D68" s="1"/>
      <c r="E68" s="1"/>
      <c r="F68" s="1"/>
      <c r="G68" s="1"/>
      <c r="Q68" s="20"/>
      <c r="R68" s="20"/>
      <c r="S68" s="20"/>
      <c r="T68" s="468"/>
      <c r="U68" s="468"/>
      <c r="V68" s="468"/>
      <c r="W68" s="468"/>
      <c r="X68" s="468"/>
      <c r="Y68" s="468"/>
      <c r="Z68" s="468"/>
      <c r="AA68" s="468"/>
      <c r="AB68" s="472"/>
    </row>
    <row r="69" spans="3:28" ht="51">
      <c r="C69" s="1" t="s">
        <v>236</v>
      </c>
      <c r="D69" s="567" t="s">
        <v>3309</v>
      </c>
      <c r="E69" s="567" t="s">
        <v>3549</v>
      </c>
      <c r="F69" s="567" t="s">
        <v>3550</v>
      </c>
      <c r="G69" s="567" t="s">
        <v>3551</v>
      </c>
      <c r="T69" s="468"/>
      <c r="U69" s="473"/>
      <c r="V69" s="473"/>
      <c r="W69" s="473"/>
      <c r="X69" s="473"/>
      <c r="Y69" s="473"/>
      <c r="Z69" s="473"/>
      <c r="AA69" s="473"/>
      <c r="AB69" s="473"/>
    </row>
    <row r="70" spans="3:28" ht="13.5" customHeight="1">
      <c r="C70" s="1" t="s">
        <v>237</v>
      </c>
      <c r="D70" s="566">
        <v>26.523584165674105</v>
      </c>
      <c r="E70" s="566">
        <v>0.19214691396653916</v>
      </c>
      <c r="F70" s="566">
        <v>8.220383</v>
      </c>
      <c r="G70" s="566">
        <v>34.936113940247353</v>
      </c>
      <c r="Q70" s="11"/>
      <c r="R70" s="11"/>
      <c r="S70" s="11"/>
      <c r="T70" s="468"/>
      <c r="U70" s="468"/>
      <c r="V70" s="469"/>
      <c r="W70" s="470"/>
      <c r="X70" s="469"/>
      <c r="Y70" s="470"/>
      <c r="Z70" s="469"/>
      <c r="AA70" s="470"/>
      <c r="AB70" s="469"/>
    </row>
    <row r="71" spans="3:28" ht="13.5" customHeight="1">
      <c r="C71" s="1" t="s">
        <v>238</v>
      </c>
      <c r="D71" s="566">
        <v>25.800028819599845</v>
      </c>
      <c r="E71" s="566">
        <v>0.21277804247274398</v>
      </c>
      <c r="F71" s="566">
        <v>25.98321</v>
      </c>
      <c r="G71" s="566">
        <v>51.996016623093901</v>
      </c>
      <c r="Q71" s="6"/>
      <c r="R71" s="6"/>
      <c r="S71" s="7"/>
      <c r="T71" s="468"/>
      <c r="U71" s="468"/>
      <c r="V71" s="469"/>
      <c r="W71" s="470"/>
      <c r="X71" s="469"/>
      <c r="Y71" s="470"/>
      <c r="Z71" s="469"/>
      <c r="AA71" s="470"/>
      <c r="AB71" s="469"/>
    </row>
    <row r="72" spans="3:28" ht="13.5" customHeight="1">
      <c r="C72" s="1" t="s">
        <v>239</v>
      </c>
      <c r="D72" s="566">
        <v>34.026023631647369</v>
      </c>
      <c r="E72" s="566">
        <v>0.25150783764481927</v>
      </c>
      <c r="F72" s="566">
        <v>16.109203999999998</v>
      </c>
      <c r="G72" s="566">
        <v>50.386735287924701</v>
      </c>
      <c r="Q72" s="6"/>
      <c r="R72" s="6"/>
      <c r="S72" s="7"/>
      <c r="T72" s="468"/>
      <c r="U72" s="468"/>
      <c r="V72" s="469"/>
      <c r="W72" s="470"/>
      <c r="X72" s="469"/>
      <c r="Y72" s="470"/>
      <c r="Z72" s="469"/>
      <c r="AA72" s="470"/>
      <c r="AB72" s="469"/>
    </row>
    <row r="73" spans="3:28" ht="13.5" customHeight="1">
      <c r="C73" s="1" t="s">
        <v>240</v>
      </c>
      <c r="D73" s="566">
        <v>58.270813632030453</v>
      </c>
      <c r="E73" s="566">
        <v>0.48281720591589772</v>
      </c>
      <c r="F73" s="566">
        <v>62.017953000000006</v>
      </c>
      <c r="G73" s="566">
        <v>120.77158439768581</v>
      </c>
      <c r="Q73" s="6"/>
      <c r="R73" s="6"/>
      <c r="S73" s="7"/>
      <c r="T73" s="468"/>
      <c r="U73" s="468"/>
      <c r="V73" s="469"/>
      <c r="W73" s="470"/>
      <c r="X73" s="469"/>
      <c r="Y73" s="470"/>
      <c r="Z73" s="469"/>
      <c r="AA73" s="470"/>
      <c r="AB73" s="469"/>
    </row>
    <row r="74" spans="3:28" ht="13.5" customHeight="1">
      <c r="C74" s="1" t="s">
        <v>104</v>
      </c>
      <c r="D74" s="566">
        <v>144.62045024895178</v>
      </c>
      <c r="E74" s="566">
        <v>1.1392500000000001</v>
      </c>
      <c r="F74" s="566">
        <v>112.33074999999999</v>
      </c>
      <c r="G74" s="566">
        <v>258.09045024895175</v>
      </c>
      <c r="Q74" s="6"/>
      <c r="R74" s="6"/>
      <c r="S74" s="7"/>
      <c r="T74" s="468"/>
      <c r="U74" s="468"/>
      <c r="V74" s="469"/>
      <c r="W74" s="470"/>
      <c r="X74" s="469"/>
      <c r="Y74" s="470"/>
      <c r="Z74" s="469"/>
      <c r="AA74" s="470"/>
      <c r="AB74" s="469"/>
    </row>
    <row r="75" spans="3:28" ht="13.5" customHeight="1">
      <c r="S75" s="12"/>
      <c r="T75" s="7"/>
    </row>
    <row r="76" spans="3:28" ht="13.5" customHeight="1">
      <c r="D76" s="565">
        <f>D70*10^6</f>
        <v>26523584.165674105</v>
      </c>
      <c r="E76" s="565">
        <f t="shared" ref="E76:G76" si="7">E70*10^6</f>
        <v>192146.91396653917</v>
      </c>
      <c r="F76" s="565">
        <f t="shared" si="7"/>
        <v>8220383</v>
      </c>
      <c r="G76" s="565">
        <f t="shared" si="7"/>
        <v>34936113.940247349</v>
      </c>
      <c r="Q76" s="11"/>
      <c r="R76" s="11"/>
      <c r="S76" s="11"/>
      <c r="T76" s="4"/>
      <c r="V76" s="20"/>
      <c r="W76" s="20"/>
      <c r="X76" s="20"/>
      <c r="Y76" s="20"/>
      <c r="Z76" s="20"/>
      <c r="AA76" s="20"/>
      <c r="AB76" s="20"/>
    </row>
    <row r="77" spans="3:28" ht="13.5" customHeight="1">
      <c r="D77" s="565">
        <f t="shared" ref="D77:G77" si="8">D71*10^6</f>
        <v>25800028.819599845</v>
      </c>
      <c r="E77" s="565">
        <f t="shared" si="8"/>
        <v>212778.04247274398</v>
      </c>
      <c r="F77" s="565">
        <f t="shared" si="8"/>
        <v>25983210</v>
      </c>
      <c r="G77" s="565">
        <f t="shared" si="8"/>
        <v>51996016.623093903</v>
      </c>
      <c r="Q77" s="6"/>
      <c r="R77" s="6"/>
      <c r="S77" s="7"/>
      <c r="T77" s="7"/>
      <c r="V77" s="20"/>
      <c r="W77" s="20"/>
      <c r="X77" s="20"/>
      <c r="Y77" s="20"/>
      <c r="Z77" s="20"/>
      <c r="AA77" s="20"/>
      <c r="AB77" s="20"/>
    </row>
    <row r="78" spans="3:28" ht="13.5" customHeight="1">
      <c r="D78" s="565">
        <f t="shared" ref="D78:G78" si="9">D72*10^6</f>
        <v>34026023.631647371</v>
      </c>
      <c r="E78" s="565">
        <f t="shared" si="9"/>
        <v>251507.83764481926</v>
      </c>
      <c r="F78" s="565">
        <f t="shared" si="9"/>
        <v>16109203.999999998</v>
      </c>
      <c r="G78" s="565">
        <f t="shared" si="9"/>
        <v>50386735.287924699</v>
      </c>
      <c r="Q78" s="6"/>
      <c r="R78" s="6"/>
      <c r="S78" s="7"/>
      <c r="T78" s="7"/>
      <c r="V78" s="20"/>
      <c r="W78" s="20"/>
      <c r="X78" s="20"/>
      <c r="Y78" s="20"/>
      <c r="Z78" s="20"/>
      <c r="AA78" s="20"/>
      <c r="AB78" s="20"/>
    </row>
    <row r="79" spans="3:28" ht="13.5" customHeight="1">
      <c r="D79" s="565">
        <f t="shared" ref="D79:G79" si="10">D73*10^6</f>
        <v>58270813.63203045</v>
      </c>
      <c r="E79" s="565">
        <f t="shared" si="10"/>
        <v>482817.20591589774</v>
      </c>
      <c r="F79" s="565">
        <f t="shared" si="10"/>
        <v>62017953.000000007</v>
      </c>
      <c r="G79" s="565">
        <f t="shared" si="10"/>
        <v>120771584.39768581</v>
      </c>
      <c r="Q79" s="6"/>
      <c r="R79" s="6"/>
      <c r="S79" s="7"/>
      <c r="T79" s="7"/>
      <c r="V79" s="20"/>
      <c r="W79" s="20"/>
      <c r="X79" s="20"/>
      <c r="Y79" s="20"/>
      <c r="Z79" s="20"/>
      <c r="AA79" s="20"/>
      <c r="AB79" s="20"/>
    </row>
    <row r="80" spans="3:28" ht="13.5" customHeight="1">
      <c r="D80" s="565">
        <f t="shared" ref="D80:G80" si="11">D74*10^6</f>
        <v>144620450.24895179</v>
      </c>
      <c r="E80" s="565">
        <f t="shared" si="11"/>
        <v>1139250</v>
      </c>
      <c r="F80" s="565">
        <f t="shared" si="11"/>
        <v>112330750</v>
      </c>
      <c r="G80" s="565">
        <f t="shared" si="11"/>
        <v>258090450.24895176</v>
      </c>
      <c r="Q80" s="6"/>
      <c r="R80" s="6"/>
      <c r="S80" s="7"/>
      <c r="T80" s="7"/>
      <c r="V80" s="20"/>
      <c r="W80" s="20"/>
      <c r="X80" s="20"/>
      <c r="Y80" s="20"/>
      <c r="Z80" s="20"/>
      <c r="AA80" s="20"/>
      <c r="AB80" s="20"/>
    </row>
    <row r="81" spans="3:24" ht="13.5" customHeight="1">
      <c r="T81" s="7"/>
    </row>
    <row r="82" spans="3:24" ht="13.5" customHeight="1">
      <c r="Q82" s="11"/>
      <c r="R82" s="11"/>
      <c r="S82" s="11"/>
      <c r="T82" s="7"/>
      <c r="W82" s="62"/>
      <c r="X82" s="62"/>
    </row>
    <row r="83" spans="3:24" ht="13.5" customHeight="1">
      <c r="C83" s="1" t="s">
        <v>3560</v>
      </c>
      <c r="Q83" s="6"/>
      <c r="R83" s="6"/>
      <c r="S83" s="7"/>
      <c r="T83" s="7"/>
      <c r="U83" s="471"/>
      <c r="V83" s="8"/>
      <c r="W83" s="4"/>
      <c r="X83" s="4"/>
    </row>
    <row r="84" spans="3:24" ht="13.5" customHeight="1">
      <c r="C84" s="1" t="s">
        <v>236</v>
      </c>
      <c r="D84" s="567" t="s">
        <v>3552</v>
      </c>
      <c r="E84" s="567" t="s">
        <v>3553</v>
      </c>
      <c r="F84" s="567" t="s">
        <v>3554</v>
      </c>
      <c r="G84" s="567" t="s">
        <v>3555</v>
      </c>
      <c r="H84" s="567" t="s">
        <v>3556</v>
      </c>
      <c r="I84" s="567" t="s">
        <v>3557</v>
      </c>
      <c r="Q84" s="6"/>
      <c r="R84" s="6"/>
      <c r="S84" s="7"/>
      <c r="T84" s="7"/>
      <c r="U84" s="471"/>
      <c r="V84" s="9"/>
      <c r="W84" s="4"/>
      <c r="X84" s="4"/>
    </row>
    <row r="85" spans="3:24" ht="13.5" customHeight="1">
      <c r="C85" s="1" t="s">
        <v>3558</v>
      </c>
      <c r="D85" s="566">
        <v>36.993392999999998</v>
      </c>
      <c r="E85" s="566">
        <v>40.966507</v>
      </c>
      <c r="F85" s="566">
        <v>44.497297000000003</v>
      </c>
      <c r="G85" s="566">
        <v>52.271925000000003</v>
      </c>
      <c r="H85" s="566">
        <v>54.995885000000001</v>
      </c>
      <c r="I85" s="566">
        <v>56.379201999999999</v>
      </c>
      <c r="Q85" s="6"/>
      <c r="R85" s="6"/>
      <c r="S85" s="7"/>
      <c r="U85" s="471"/>
      <c r="W85" s="4"/>
      <c r="X85" s="4"/>
    </row>
    <row r="86" spans="3:24" ht="13.5" customHeight="1">
      <c r="C86" s="1" t="s">
        <v>238</v>
      </c>
      <c r="D86" s="566">
        <v>41.286575999999997</v>
      </c>
      <c r="E86" s="566">
        <v>46.660052999999998</v>
      </c>
      <c r="F86" s="566">
        <v>51.538533999999999</v>
      </c>
      <c r="G86" s="566">
        <v>62.401290000000003</v>
      </c>
      <c r="H86" s="566">
        <v>65.966967999999994</v>
      </c>
      <c r="I86" s="566">
        <v>67.730283</v>
      </c>
      <c r="Q86" s="6"/>
      <c r="R86" s="6"/>
      <c r="S86" s="7"/>
      <c r="U86" s="471"/>
      <c r="W86" s="4"/>
      <c r="X86" s="4"/>
    </row>
    <row r="87" spans="3:24" ht="13.5" customHeight="1">
      <c r="C87" s="1" t="s">
        <v>239</v>
      </c>
      <c r="D87" s="566">
        <v>50.737774000000002</v>
      </c>
      <c r="E87" s="566">
        <v>56.100524</v>
      </c>
      <c r="F87" s="566">
        <v>61.153323</v>
      </c>
      <c r="G87" s="566">
        <v>72.125433999999998</v>
      </c>
      <c r="H87" s="566">
        <v>76.011360999999994</v>
      </c>
      <c r="I87" s="566">
        <v>77.881856999999997</v>
      </c>
      <c r="U87" s="471"/>
      <c r="W87" s="4"/>
      <c r="X87" s="4"/>
    </row>
    <row r="88" spans="3:24" ht="13.5" customHeight="1">
      <c r="C88" s="1" t="s">
        <v>240</v>
      </c>
      <c r="D88" s="566">
        <v>84.864379</v>
      </c>
      <c r="E88" s="566">
        <v>96.894572999999994</v>
      </c>
      <c r="F88" s="566">
        <v>107.639318</v>
      </c>
      <c r="G88" s="566">
        <v>132.16523000000001</v>
      </c>
      <c r="H88" s="566">
        <v>140.07780500000001</v>
      </c>
      <c r="I88" s="566">
        <v>144.31522000000001</v>
      </c>
      <c r="Q88" s="11"/>
      <c r="R88" s="11"/>
      <c r="S88" s="11"/>
    </row>
    <row r="89" spans="3:24" ht="13.5" customHeight="1">
      <c r="C89" s="1" t="s">
        <v>3559</v>
      </c>
      <c r="D89" s="566">
        <v>213.88212200000001</v>
      </c>
      <c r="E89" s="566">
        <v>240.621657</v>
      </c>
      <c r="F89" s="566">
        <v>264.82847199999998</v>
      </c>
      <c r="G89" s="566">
        <v>318.96387900000002</v>
      </c>
      <c r="H89" s="566">
        <v>337.05201899999997</v>
      </c>
      <c r="I89" s="566">
        <v>346.30656199999999</v>
      </c>
      <c r="Q89" s="6"/>
      <c r="R89" s="6"/>
      <c r="S89" s="7"/>
    </row>
    <row r="90" spans="3:24" ht="13.5" customHeight="1">
      <c r="Q90" s="6"/>
      <c r="R90" s="6"/>
      <c r="S90" s="7"/>
    </row>
    <row r="91" spans="3:24" ht="13.5" customHeight="1">
      <c r="D91" s="565">
        <f>D85*10^6</f>
        <v>36993393</v>
      </c>
      <c r="E91" s="565">
        <f t="shared" ref="E91:G91" si="12">E85*10^6</f>
        <v>40966507</v>
      </c>
      <c r="F91" s="565">
        <f t="shared" si="12"/>
        <v>44497297</v>
      </c>
      <c r="G91" s="565">
        <f t="shared" si="12"/>
        <v>52271925</v>
      </c>
      <c r="H91" s="565">
        <f>H85*10^6</f>
        <v>54995885</v>
      </c>
      <c r="I91" s="565">
        <f t="shared" ref="I91" si="13">I85*10^6</f>
        <v>56379202</v>
      </c>
      <c r="Q91" s="6"/>
      <c r="R91" s="6"/>
      <c r="S91" s="7"/>
    </row>
    <row r="92" spans="3:24" ht="13.5" customHeight="1">
      <c r="D92" s="565">
        <f t="shared" ref="D92:G92" si="14">D86*10^6</f>
        <v>41286576</v>
      </c>
      <c r="E92" s="565">
        <f t="shared" si="14"/>
        <v>46660053</v>
      </c>
      <c r="F92" s="565">
        <f t="shared" si="14"/>
        <v>51538534</v>
      </c>
      <c r="G92" s="565">
        <f t="shared" si="14"/>
        <v>62401290</v>
      </c>
      <c r="H92" s="565">
        <f t="shared" ref="H92:I92" si="15">H86*10^6</f>
        <v>65966967.999999993</v>
      </c>
      <c r="I92" s="565">
        <f t="shared" si="15"/>
        <v>67730283</v>
      </c>
      <c r="Q92" s="6"/>
      <c r="R92" s="6"/>
      <c r="S92" s="7"/>
    </row>
    <row r="93" spans="3:24" ht="13.5" customHeight="1">
      <c r="D93" s="565">
        <f t="shared" ref="D93:G93" si="16">D87*10^6</f>
        <v>50737774</v>
      </c>
      <c r="E93" s="565">
        <f t="shared" si="16"/>
        <v>56100524</v>
      </c>
      <c r="F93" s="565">
        <f t="shared" si="16"/>
        <v>61153323</v>
      </c>
      <c r="G93" s="565">
        <f t="shared" si="16"/>
        <v>72125434</v>
      </c>
      <c r="H93" s="565">
        <f t="shared" ref="H93:I93" si="17">H87*10^6</f>
        <v>76011361</v>
      </c>
      <c r="I93" s="565">
        <f t="shared" si="17"/>
        <v>77881857</v>
      </c>
    </row>
    <row r="94" spans="3:24" ht="13.5" customHeight="1">
      <c r="D94" s="565">
        <f t="shared" ref="D94:G94" si="18">D88*10^6</f>
        <v>84864379</v>
      </c>
      <c r="E94" s="565">
        <f t="shared" si="18"/>
        <v>96894573</v>
      </c>
      <c r="F94" s="565">
        <f t="shared" si="18"/>
        <v>107639318</v>
      </c>
      <c r="G94" s="565">
        <f t="shared" si="18"/>
        <v>132165230.00000001</v>
      </c>
      <c r="H94" s="565">
        <f t="shared" ref="H94:I94" si="19">H88*10^6</f>
        <v>140077805</v>
      </c>
      <c r="I94" s="565">
        <f t="shared" si="19"/>
        <v>144315220</v>
      </c>
      <c r="Q94" s="11"/>
      <c r="R94" s="11"/>
      <c r="S94" s="11"/>
    </row>
    <row r="95" spans="3:24" ht="13.5" customHeight="1">
      <c r="D95" s="565">
        <f t="shared" ref="D95:G95" si="20">D89*10^6</f>
        <v>213882122</v>
      </c>
      <c r="E95" s="565">
        <f t="shared" si="20"/>
        <v>240621657</v>
      </c>
      <c r="F95" s="565">
        <f t="shared" si="20"/>
        <v>264828471.99999997</v>
      </c>
      <c r="G95" s="565">
        <f t="shared" si="20"/>
        <v>318963879</v>
      </c>
      <c r="H95" s="565">
        <f t="shared" ref="H95:I95" si="21">H89*10^6</f>
        <v>337052019</v>
      </c>
      <c r="I95" s="565">
        <f t="shared" si="21"/>
        <v>346306562</v>
      </c>
      <c r="Q95" s="6"/>
      <c r="R95" s="6"/>
      <c r="S95" s="7"/>
    </row>
    <row r="96" spans="3:24" ht="13.5" customHeight="1">
      <c r="Q96" s="6"/>
      <c r="R96" s="6"/>
      <c r="S96" s="7"/>
    </row>
    <row r="97" spans="17:19" ht="13.5" customHeight="1">
      <c r="Q97" s="6"/>
      <c r="R97" s="6"/>
      <c r="S97" s="7"/>
    </row>
    <row r="98" spans="17:19" ht="13.5" customHeight="1">
      <c r="Q98" s="6"/>
      <c r="R98" s="6"/>
      <c r="S98" s="7"/>
    </row>
  </sheetData>
  <sheetProtection sheet="1" objects="1" scenarios="1"/>
  <mergeCells count="3">
    <mergeCell ref="T67:AB67"/>
    <mergeCell ref="R3:Y4"/>
    <mergeCell ref="E34:G35"/>
  </mergeCells>
  <phoneticPr fontId="0" type="noConversion"/>
  <hyperlinks>
    <hyperlink ref="R3" r:id="rId2" xr:uid="{00000000-0004-0000-0500-000000000000}"/>
    <hyperlink ref="E34" r:id="rId3" xr:uid="{00000000-0004-0000-0500-000001000000}"/>
    <hyperlink ref="B14" r:id="rId4" xr:uid="{00000000-0004-0000-0500-000002000000}"/>
    <hyperlink ref="C64" r:id="rId5" xr:uid="{B052E4AC-C891-495E-87BD-F168CD581CBF}"/>
  </hyperlinks>
  <pageMargins left="0.75" right="0.75" top="1" bottom="1" header="0.5" footer="0.5"/>
  <pageSetup paperSize="9" orientation="landscape" r:id="rId6"/>
  <headerFooter alignWithMargins="0"/>
  <legacy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FFCC99"/>
  </sheetPr>
  <dimension ref="A1:F93"/>
  <sheetViews>
    <sheetView workbookViewId="0">
      <selection activeCell="Z4" sqref="Z4"/>
    </sheetView>
  </sheetViews>
  <sheetFormatPr defaultColWidth="8.88671875" defaultRowHeight="12.75"/>
  <cols>
    <col min="1" max="1" width="8.109375" style="76" customWidth="1"/>
    <col min="2" max="2" width="59" style="80" customWidth="1"/>
    <col min="3" max="3" width="14.21875" style="80" customWidth="1"/>
    <col min="4" max="4" width="53" style="80" customWidth="1"/>
    <col min="5" max="5" width="13.6640625" style="97" customWidth="1"/>
    <col min="6" max="6" width="60.6640625" style="80" customWidth="1"/>
    <col min="7" max="16384" width="8.88671875" style="76"/>
  </cols>
  <sheetData>
    <row r="1" spans="1:6">
      <c r="A1" s="79" t="s">
        <v>3211</v>
      </c>
      <c r="D1" s="81" t="s">
        <v>3258</v>
      </c>
      <c r="E1" s="82"/>
      <c r="F1" s="81"/>
    </row>
    <row r="2" spans="1:6">
      <c r="A2" s="83" t="s">
        <v>3212</v>
      </c>
      <c r="B2" s="84" t="s">
        <v>3213</v>
      </c>
      <c r="C2" s="84" t="s">
        <v>249</v>
      </c>
      <c r="D2" s="84" t="s">
        <v>3214</v>
      </c>
      <c r="E2" s="85" t="s">
        <v>251</v>
      </c>
      <c r="F2" s="84" t="s">
        <v>3215</v>
      </c>
    </row>
    <row r="3" spans="1:6" s="1" customFormat="1">
      <c r="A3" s="86" t="s">
        <v>3216</v>
      </c>
      <c r="B3" s="87"/>
      <c r="C3" s="87"/>
      <c r="D3" s="87"/>
      <c r="E3" s="88"/>
      <c r="F3" s="87"/>
    </row>
    <row r="4" spans="1:6" s="1" customFormat="1">
      <c r="A4" s="89"/>
      <c r="B4" s="81" t="s">
        <v>3217</v>
      </c>
      <c r="C4" s="81"/>
      <c r="D4" s="81" t="str">
        <f>VLOOKUP(B4,Translate!$B$3:$E$1449,3,FALSE)</f>
        <v>Ffurflen Gofynion y Gyllideb</v>
      </c>
      <c r="E4" s="82" t="str">
        <f>IF(ISERROR(VLOOKUP(C4,Translate!$B$3:$E$1449,3,FALSE)),"",VLOOKUP(C4,Translate!$B$3:$E$1449,3,FALSE))</f>
        <v/>
      </c>
      <c r="F4" s="80" t="str">
        <f>IF(FrontPage!$E$7=1,D4&amp;E4,B4&amp;C4)</f>
        <v>Budget Requirement Return</v>
      </c>
    </row>
    <row r="5" spans="1:6" s="1" customFormat="1">
      <c r="A5" s="89"/>
      <c r="B5" s="81" t="s">
        <v>3304</v>
      </c>
      <c r="C5" s="81"/>
      <c r="D5" s="81" t="str">
        <f>VLOOKUP(B5,Translate!$B$3:$E$1449,3,FALSE)</f>
        <v>Yr Heddlu yn unig</v>
      </c>
      <c r="E5" s="82" t="str">
        <f>IF(ISERROR(VLOOKUP(C5,Translate!$B$3:$E$1254,3,FALSE)),"",VLOOKUP(C5,Translate!$B$3:$E$1254,3,FALSE))</f>
        <v/>
      </c>
      <c r="F5" s="80" t="str">
        <f>IF(FrontPage!$E$7=1,D5&amp;E5,B5&amp;C5)</f>
        <v>Police Authorities only</v>
      </c>
    </row>
    <row r="6" spans="1:6" s="1" customFormat="1">
      <c r="A6" s="89"/>
      <c r="B6" s="81" t="s">
        <v>2923</v>
      </c>
      <c r="C6" s="81"/>
      <c r="D6" s="81" t="str">
        <f>VLOOKUP(B6,Translate!$B$3:$E$1449,3,FALSE)</f>
        <v>Dewiswch eich awdurdod a cywirwch eich cyfeiriad os oes angen</v>
      </c>
      <c r="E6" s="82" t="str">
        <f>IF(ISERROR(VLOOKUP(C6,Translate!$B$3:$E$1254,3,FALSE)),"",VLOOKUP(C6,Translate!$B$3:$E$1254,3,FALSE))</f>
        <v/>
      </c>
      <c r="F6" s="80" t="str">
        <f>IF(FrontPage!$E$7=1,D6&amp;E6,B6&amp;C6)</f>
        <v>Please select your authority and if necessary, amend any incorrect details</v>
      </c>
    </row>
    <row r="7" spans="1:6" s="1" customFormat="1">
      <c r="B7" s="78" t="s">
        <v>1107</v>
      </c>
      <c r="C7" s="78"/>
      <c r="D7" s="81" t="str">
        <f>VLOOKUP(B7,Translate!$B$3:$E$1449,3,FALSE)</f>
        <v>Enw:</v>
      </c>
      <c r="E7" s="82" t="str">
        <f>IF(ISERROR(VLOOKUP(C7,Translate!$B$3:$E$1254,3,FALSE)),"",VLOOKUP(C7,Translate!$B$3:$E$1254,3,FALSE))</f>
        <v/>
      </c>
      <c r="F7" s="80" t="str">
        <f>IF(FrontPage!$E$7=1,D7&amp;E7,B7&amp;C7)</f>
        <v>Name:</v>
      </c>
    </row>
    <row r="8" spans="1:6" s="1" customFormat="1">
      <c r="B8" s="78" t="s">
        <v>824</v>
      </c>
      <c r="C8" s="78"/>
      <c r="D8" s="81" t="str">
        <f>VLOOKUP(B8,Translate!$B$3:$E$1449,3,FALSE)</f>
        <v>E-bost (rhowch Amh os nad yw ar gael):</v>
      </c>
      <c r="E8" s="82" t="str">
        <f>IF(ISERROR(VLOOKUP(C8,Translate!$B$3:$E$1254,3,FALSE)),"",VLOOKUP(C8,Translate!$B$3:$E$1254,3,FALSE))</f>
        <v/>
      </c>
      <c r="F8" s="80" t="str">
        <f>IF(FrontPage!$E$7=1,D8&amp;E8,B8&amp;C8)</f>
        <v>E-mail (please enter N/A if unavailable):</v>
      </c>
    </row>
    <row r="9" spans="1:6" s="1" customFormat="1">
      <c r="B9" s="78" t="s">
        <v>1342</v>
      </c>
      <c r="C9" s="78"/>
      <c r="D9" s="81" t="str">
        <f>VLOOKUP(B9,Translate!$B$3:$E$1449,3,FALSE)</f>
        <v>Ffôn: Cod STD:</v>
      </c>
      <c r="E9" s="82" t="str">
        <f>IF(ISERROR(VLOOKUP(C9,Translate!$B$3:$E$1254,3,FALSE)),"",VLOOKUP(C9,Translate!$B$3:$E$1254,3,FALSE))</f>
        <v/>
      </c>
      <c r="F9" s="80" t="str">
        <f>IF(FrontPage!$E$7=1,D9&amp;E9,B9&amp;C9)</f>
        <v>Telephone: STD code:</v>
      </c>
    </row>
    <row r="10" spans="1:6" s="1" customFormat="1">
      <c r="B10" s="78" t="s">
        <v>1159</v>
      </c>
      <c r="C10" s="78"/>
      <c r="D10" s="81" t="str">
        <f>VLOOKUP(B10,Translate!$B$3:$E$1449,3,FALSE)</f>
        <v>Rhif ac estyniad:</v>
      </c>
      <c r="E10" s="82" t="str">
        <f>IF(ISERROR(VLOOKUP(C10,Translate!$B$3:$E$1254,3,FALSE)),"",VLOOKUP(C10,Translate!$B$3:$E$1254,3,FALSE))</f>
        <v/>
      </c>
      <c r="F10" s="80" t="str">
        <f>IF(FrontPage!$E$7=1,D10&amp;E10,B10&amp;C10)</f>
        <v>Number and extension:</v>
      </c>
    </row>
    <row r="11" spans="1:6" s="1" customFormat="1" ht="28.5" customHeight="1">
      <c r="B11" s="90" t="s">
        <v>71</v>
      </c>
      <c r="C11" s="78"/>
      <c r="D11" s="81" t="str">
        <f>VLOOKUP(B11,Translate!$B$3:$E$1449,3,FALSE)</f>
        <v>Rhaid cyflwyno'r wybodaeth ar y ffurflen hon o dan adran 64 o Ddeddf Cyllid Llywodraeth Leol 1992, fel y'i diwygiwyd.</v>
      </c>
      <c r="E11" s="82" t="str">
        <f>IF(ISERROR(VLOOKUP(C11,Translate!$B$3:$E$1254,3,FALSE)),"",VLOOKUP(C11,Translate!$B$3:$E$1254,3,FALSE))</f>
        <v/>
      </c>
      <c r="F11" s="80" t="str">
        <f>IF(FrontPage!$E$7=1,D11&amp;E11,B11&amp;C11)</f>
        <v>The information on this form must be submitted under section 64 of the Local Government Finance Act 1992, as amended.</v>
      </c>
    </row>
    <row r="12" spans="1:6" s="1" customFormat="1">
      <c r="B12" s="80" t="s">
        <v>3218</v>
      </c>
      <c r="C12" s="78"/>
      <c r="D12" s="81" t="str">
        <f>VLOOKUP(B12,Translate!$B$3:$E$1449,3,FALSE)</f>
        <v xml:space="preserve">Rhaid dychwelyd y ffurflen hon o fewn 7 diwrnod i gyfrifo Gofynion y Gyllideb. </v>
      </c>
      <c r="E12" s="82" t="str">
        <f>IF(ISERROR(VLOOKUP(C12,Translate!$B$3:$E$1254,3,FALSE)),"",VLOOKUP(C12,Translate!$B$3:$E$1254,3,FALSE))</f>
        <v/>
      </c>
      <c r="F12" s="80" t="str">
        <f>IF(FrontPage!$E$7=1,D12&amp;E12,B12&amp;C12)</f>
        <v>This form must be returned within 7 days of calculating your Budget Requirement.</v>
      </c>
    </row>
    <row r="13" spans="1:6" s="1" customFormat="1">
      <c r="B13" s="80" t="s">
        <v>3468</v>
      </c>
      <c r="C13" s="78"/>
      <c r="D13" s="81" t="str">
        <f>VLOOKUP(B13,Translate!$B$3:$E$1449,3,FALSE)</f>
        <v xml:space="preserve">Rhaid llenwi'r ffurflen erbyn </v>
      </c>
      <c r="E13" s="82" t="str">
        <f>IF(ISERROR(VLOOKUP(C13,Translate!$B$3:$E$1254,3,FALSE)),"",VLOOKUP(C13,Translate!$B$3:$E$1254,3,FALSE))</f>
        <v/>
      </c>
      <c r="F13" s="80" t="str">
        <f>IF(FrontPage!$E$7=1,D13&amp;E13,B13&amp;C13)</f>
        <v xml:space="preserve">The form must be completed by </v>
      </c>
    </row>
    <row r="14" spans="1:6" s="1" customFormat="1">
      <c r="B14" s="80" t="s">
        <v>3469</v>
      </c>
      <c r="C14" s="78"/>
      <c r="D14" s="81" t="str">
        <f>VLOOKUP(B14,Translate!$B$3:$E$1449,3,FALSE)</f>
        <v xml:space="preserve"> a'i hanfon at Lywodraeth Cymru erbyn </v>
      </c>
      <c r="E14" s="82"/>
      <c r="F14" s="80" t="str">
        <f>IF(FrontPage!$E$7=1,D14&amp;E14,B14&amp;C14)</f>
        <v xml:space="preserve"> and sent to the Welsh Government by </v>
      </c>
    </row>
    <row r="15" spans="1:6" s="1" customFormat="1" ht="25.5">
      <c r="B15" s="561" t="str">
        <f>B13&amp;Details!G4&amp;B14&amp;Details!G5&amp;"."</f>
        <v>The form must be completed by 1 March 2024 and sent to the Welsh Government by 7 March 2024.</v>
      </c>
      <c r="C15" s="78"/>
      <c r="D15" s="562" t="str">
        <f>D13&amp;Details!G4&amp;D14&amp;Details!G5&amp;"."</f>
        <v>Rhaid llenwi'r ffurflen erbyn 1 March 2024 a'i hanfon at Lywodraeth Cymru erbyn 7 March 2024.</v>
      </c>
      <c r="E15" s="82"/>
      <c r="F15" s="80" t="str">
        <f>IF(FrontPage!$E$7=1,D15&amp;E15,B15&amp;C15)</f>
        <v>The form must be completed by 1 March 2024 and sent to the Welsh Government by 7 March 2024.</v>
      </c>
    </row>
    <row r="16" spans="1:6" s="1" customFormat="1" ht="24.75" customHeight="1">
      <c r="B16" s="78" t="s">
        <v>3076</v>
      </c>
      <c r="C16" s="78"/>
      <c r="D16" s="81" t="str">
        <f>VLOOKUP(B16,Translate!$B$3:$E$1449,3,FALSE)</f>
        <v>Dylech gyfeirio unrhyw ymholiadau ynghylch sut i gwblhau'r ffurflen, yn y lle cyntaf, drwy ffon neu e-bost, gan ddilyn y cyfarwyddyd isod:</v>
      </c>
      <c r="E16" s="82" t="str">
        <f>IF(ISERROR(VLOOKUP(C16,Translate!$B$3:$E$1254,3,FALSE)),"",VLOOKUP(C16,Translate!$B$3:$E$1254,3,FALSE))</f>
        <v/>
      </c>
      <c r="F16" s="80" t="str">
        <f>IF(FrontPage!$E$7=1,D16&amp;E16,B16&amp;C16)</f>
        <v>Any queries on completion of the form or spreadsheet should be directed in the first instance, via telephone or e-mail, as directed below:</v>
      </c>
    </row>
    <row r="17" spans="1:6" s="1" customFormat="1" ht="40.5" customHeight="1">
      <c r="B17" s="80" t="s">
        <v>309</v>
      </c>
      <c r="C17" s="78"/>
      <c r="D17" s="81" t="str">
        <f>VLOOKUP(B17,Translate!$B$3:$E$1449,3,FALSE)</f>
        <v>Mae'n un o ofynion archwiliadau Llywodraeth Cymru fod pob cell yn cael ei llenwi. Gwnewch yn siŵr fod sero ym mhob cell wag. Cymerir yn ganiataol mai sero yw gwerth pob cell sydd heb ei llenwi.</v>
      </c>
      <c r="E17" s="82" t="str">
        <f>IF(ISERROR(VLOOKUP(C17,Translate!$B$3:$E$1254,3,FALSE)),"",VLOOKUP(C17,Translate!$B$3:$E$1254,3,FALSE))</f>
        <v/>
      </c>
      <c r="F17" s="80" t="str">
        <f>IF(FrontPage!$E$7=1,D17&amp;E17,B17&amp;C17)</f>
        <v>It is a Welsh Government audit requirement that all cells are completed.  Please ensure that all blank cells are populated with zeros, those that are not will be assumed to be zero.</v>
      </c>
    </row>
    <row r="18" spans="1:6" s="91" customFormat="1">
      <c r="B18" s="91" t="s">
        <v>1089</v>
      </c>
      <c r="D18" s="81" t="str">
        <f>VLOOKUP(B18,Translate!$B$3:$E$1449,3,FALSE)</f>
        <v>Uned Ystadegau Ariannol Llywodraeth Leol,</v>
      </c>
      <c r="E18" s="82" t="str">
        <f>IF(ISERROR(VLOOKUP(C18,Translate!$B$3:$E$1254,3,FALSE)),"",VLOOKUP(C18,Translate!$B$3:$E$1254,3,FALSE))</f>
        <v/>
      </c>
      <c r="F18" s="80" t="str">
        <f>IF(FrontPage!$E$7=1,D18&amp;E18,B18&amp;C18)</f>
        <v>Local Government Financial Statistics Unit,</v>
      </c>
    </row>
    <row r="19" spans="1:6" s="91" customFormat="1">
      <c r="B19" s="91" t="s">
        <v>327</v>
      </c>
      <c r="D19" s="81" t="str">
        <f>VLOOKUP(B19,Translate!$B$3:$E$1449,3,FALSE)</f>
        <v>Llywodraeth Cymru,</v>
      </c>
      <c r="E19" s="82" t="str">
        <f>IF(ISERROR(VLOOKUP(C19,Translate!$B$3:$E$1254,3,FALSE)),"",VLOOKUP(C19,Translate!$B$3:$E$1254,3,FALSE))</f>
        <v/>
      </c>
      <c r="F19" s="80" t="str">
        <f>IF(FrontPage!$E$7=1,D19&amp;E19,B19&amp;C19)</f>
        <v>Welsh Government,</v>
      </c>
    </row>
    <row r="20" spans="1:6" s="91" customFormat="1">
      <c r="B20" s="91" t="s">
        <v>2940</v>
      </c>
      <c r="D20" s="81" t="s">
        <v>2940</v>
      </c>
      <c r="E20" s="82" t="str">
        <f>IF(ISERROR(VLOOKUP(C20,Translate!$B$3:$E$1254,3,FALSE)),"",VLOOKUP(C20,Translate!$B$3:$E$1254,3,FALSE))</f>
        <v/>
      </c>
      <c r="F20" s="80" t="str">
        <f>IF(FrontPage!$E$7=1,D20&amp;E20,B20&amp;C20)</f>
        <v>CP2</v>
      </c>
    </row>
    <row r="21" spans="1:6" s="91" customFormat="1">
      <c r="B21" s="91" t="s">
        <v>333</v>
      </c>
      <c r="D21" s="81" t="str">
        <f>VLOOKUP(B21,Translate!$B$3:$E$1449,3,FALSE)</f>
        <v>Parc Cathays,</v>
      </c>
      <c r="E21" s="82" t="str">
        <f>IF(ISERROR(VLOOKUP(C21,Translate!$B$3:$E$1254,3,FALSE)),"",VLOOKUP(C21,Translate!$B$3:$E$1254,3,FALSE))</f>
        <v/>
      </c>
      <c r="F21" s="80" t="str">
        <f>IF(FrontPage!$E$7=1,D21&amp;E21,B21&amp;C21)</f>
        <v>Cathays Park,</v>
      </c>
    </row>
    <row r="22" spans="1:6" s="91" customFormat="1">
      <c r="B22" s="91" t="s">
        <v>339</v>
      </c>
      <c r="D22" s="81" t="str">
        <f>VLOOKUP(B22,Translate!$B$3:$E$1449,3,FALSE)</f>
        <v>CAERDYDD</v>
      </c>
      <c r="E22" s="82" t="str">
        <f>IF(ISERROR(VLOOKUP(C22,Translate!$B$3:$E$1254,3,FALSE)),"",VLOOKUP(C22,Translate!$B$3:$E$1254,3,FALSE))</f>
        <v/>
      </c>
      <c r="F22" s="80" t="str">
        <f>IF(FrontPage!$E$7=1,D22&amp;E22,B22&amp;C22)</f>
        <v>CARDIFF,</v>
      </c>
    </row>
    <row r="23" spans="1:6" s="91" customFormat="1">
      <c r="B23" s="91" t="s">
        <v>344</v>
      </c>
      <c r="D23" s="81" t="str">
        <f>VLOOKUP(B23,Translate!$B$3:$E$1449,3,FALSE)</f>
        <v>CF10 3NQ</v>
      </c>
      <c r="E23" s="82" t="str">
        <f>IF(ISERROR(VLOOKUP(C23,Translate!$B$3:$E$1254,3,FALSE)),"",VLOOKUP(C23,Translate!$B$3:$E$1254,3,FALSE))</f>
        <v/>
      </c>
      <c r="F23" s="80" t="str">
        <f>IF(FrontPage!$E$7=1,D23&amp;E23,B23&amp;C23)</f>
        <v>CF10 3NQ.</v>
      </c>
    </row>
    <row r="24" spans="1:6" s="91" customFormat="1">
      <c r="B24" s="91" t="s">
        <v>222</v>
      </c>
      <c r="D24" s="81" t="str">
        <f>VLOOKUP(B24,Translate!$B$3:$E$1449,3,FALSE)</f>
        <v>E-bost:</v>
      </c>
      <c r="E24" s="82" t="str">
        <f>IF(ISERROR(VLOOKUP(C24,Translate!$B$3:$E$1254,3,FALSE)),"",VLOOKUP(C24,Translate!$B$3:$E$1254,3,FALSE))</f>
        <v/>
      </c>
      <c r="F24" s="80" t="str">
        <f>IF(FrontPage!$E$7=1,D24&amp;E24,B24&amp;C24)</f>
        <v>E-mail:</v>
      </c>
    </row>
    <row r="25" spans="1:6" s="1" customFormat="1">
      <c r="B25" s="78" t="s">
        <v>221</v>
      </c>
      <c r="C25" s="78"/>
      <c r="D25" s="81" t="str">
        <f>VLOOKUP(B25,Translate!$B$3:$E$1449,3,FALSE)</f>
        <v>Ffôn:</v>
      </c>
      <c r="E25" s="82" t="str">
        <f>IF(ISERROR(VLOOKUP(C25,Translate!$B$3:$E$1254,3,FALSE)),"",VLOOKUP(C25,Translate!$B$3:$E$1254,3,FALSE))</f>
        <v/>
      </c>
      <c r="F25" s="80" t="str">
        <f>IF(FrontPage!$E$7=1,D25&amp;E25,B25&amp;C25)</f>
        <v>Telephone:</v>
      </c>
    </row>
    <row r="26" spans="1:6" s="1" customFormat="1">
      <c r="B26" s="78" t="s">
        <v>232</v>
      </c>
      <c r="C26" s="78"/>
      <c r="D26" s="81" t="str">
        <f>VLOOKUP(B26,Translate!$B$3:$E$1449,3,FALSE)</f>
        <v>Cod</v>
      </c>
      <c r="E26" s="82" t="str">
        <f>IF(ISERROR(VLOOKUP(C26,Translate!$B$3:$E$1254,3,FALSE)),"",VLOOKUP(C26,Translate!$B$3:$E$1254,3,FALSE))</f>
        <v/>
      </c>
      <c r="F26" s="80" t="str">
        <f>IF(FrontPage!$E$7=1,D26&amp;E26,B26&amp;C26)</f>
        <v>Code</v>
      </c>
    </row>
    <row r="27" spans="1:6" s="1" customFormat="1">
      <c r="B27" s="78" t="s">
        <v>226</v>
      </c>
      <c r="C27" s="78"/>
      <c r="D27" s="81" t="str">
        <f>VLOOKUP(B27,Translate!$B$3:$E$1449,3,FALSE)</f>
        <v>Awdurdod</v>
      </c>
      <c r="E27" s="82" t="str">
        <f>IF(ISERROR(VLOOKUP(C27,Translate!$B$3:$E$1254,3,FALSE)),"",VLOOKUP(C27,Translate!$B$3:$E$1254,3,FALSE))</f>
        <v/>
      </c>
      <c r="F27" s="80" t="str">
        <f>IF(FrontPage!$E$7=1,D27&amp;E27,B27&amp;C27)</f>
        <v>Authority</v>
      </c>
    </row>
    <row r="28" spans="1:6" s="1" customFormat="1">
      <c r="A28" s="92" t="s">
        <v>29</v>
      </c>
      <c r="B28" s="93"/>
      <c r="C28" s="93"/>
      <c r="D28" s="87"/>
      <c r="E28" s="88"/>
      <c r="F28" s="96"/>
    </row>
    <row r="29" spans="1:6" s="1" customFormat="1">
      <c r="A29" s="158"/>
      <c r="B29" s="78" t="s">
        <v>3241</v>
      </c>
      <c r="C29" s="78"/>
      <c r="D29" s="81" t="str">
        <f>VLOOKUP(B29,Translate!$B$3:$E$1449,3,FALSE)</f>
        <v>darllenwch y canllawiau cyn llenwi'r ffurflen</v>
      </c>
      <c r="E29" s="82" t="str">
        <f>IF(ISERROR(VLOOKUP(C29,Translate!$B$3:$E$1254,3,FALSE)),"",VLOOKUP(C29,Translate!$B$3:$E$1254,3,FALSE))</f>
        <v/>
      </c>
      <c r="F29" s="80" t="str">
        <f>IF(FrontPage!$E$7=1,D29&amp;E29,B29&amp;C29)</f>
        <v>please read notes for guidance before completing the form</v>
      </c>
    </row>
    <row r="30" spans="1:6" s="1" customFormat="1">
      <c r="B30" s="1" t="s">
        <v>4</v>
      </c>
      <c r="C30" s="78"/>
      <c r="D30" s="81" t="str">
        <f>VLOOKUP(B30,Translate!$B$3:$E$1449,3,FALSE)</f>
        <v>Gwariant ac incwm</v>
      </c>
      <c r="E30" s="82" t="str">
        <f>IF(ISERROR(VLOOKUP(C30,Translate!$B$3:$E$1254,3,FALSE)),"",VLOOKUP(C30,Translate!$B$3:$E$1254,3,FALSE))</f>
        <v/>
      </c>
      <c r="F30" s="80" t="str">
        <f>IF(FrontPage!$E$7=1,D30&amp;E30,B30&amp;C30)</f>
        <v>Expenditure and income</v>
      </c>
    </row>
    <row r="31" spans="1:6" s="1" customFormat="1">
      <c r="A31" s="1">
        <v>1</v>
      </c>
      <c r="B31" s="78" t="s">
        <v>30</v>
      </c>
      <c r="C31" s="78"/>
      <c r="D31" s="81" t="str">
        <f>VLOOKUP(B31,Translate!$B$3:$E$1449,3,FALSE)</f>
        <v>Gofynion y Gyllideb</v>
      </c>
      <c r="E31" s="82" t="str">
        <f>IF(ISERROR(VLOOKUP(C31,Translate!$B$3:$E$1254,3,FALSE)),"",VLOOKUP(C31,Translate!$B$3:$E$1254,3,FALSE))</f>
        <v/>
      </c>
      <c r="F31" s="80" t="str">
        <f>IF(FrontPage!$E$7=1,D31&amp;E31,B31&amp;C31)</f>
        <v>Budget requirement</v>
      </c>
    </row>
    <row r="32" spans="1:6" s="1" customFormat="1">
      <c r="A32" s="1">
        <v>2</v>
      </c>
      <c r="B32" s="78" t="s">
        <v>1</v>
      </c>
      <c r="C32" s="78"/>
      <c r="D32" s="81" t="str">
        <f>VLOOKUP(B32,Translate!$B$3:$E$1449,3,FALSE)</f>
        <v>Ail-ddosbarthu ardrethi annomestig</v>
      </c>
      <c r="E32" s="82" t="str">
        <f>IF(ISERROR(VLOOKUP(C32,Translate!$B$3:$E$1254,3,FALSE)),"",VLOOKUP(C32,Translate!$B$3:$E$1254,3,FALSE))</f>
        <v/>
      </c>
      <c r="F32" s="80" t="str">
        <f>IF(FrontPage!$E$7=1,D32&amp;E32,B32&amp;C32)</f>
        <v>Re-distributed non-domestic rates</v>
      </c>
    </row>
    <row r="33" spans="1:6" s="1" customFormat="1">
      <c r="A33" s="1">
        <v>3</v>
      </c>
      <c r="B33" s="78" t="s">
        <v>2</v>
      </c>
      <c r="C33" s="78"/>
      <c r="D33" s="81" t="str">
        <f>VLOOKUP(B33,Translate!$B$3:$E$1449,3,FALSE)</f>
        <v>Grant cynnal refeniw</v>
      </c>
      <c r="E33" s="82" t="str">
        <f>IF(ISERROR(VLOOKUP(C33,Translate!$B$3:$E$1254,3,FALSE)),"",VLOOKUP(C33,Translate!$B$3:$E$1254,3,FALSE))</f>
        <v/>
      </c>
      <c r="F33" s="80" t="str">
        <f>IF(FrontPage!$E$7=1,D33&amp;E33,B33&amp;C33)</f>
        <v>Revenue support grant</v>
      </c>
    </row>
    <row r="34" spans="1:6" s="1" customFormat="1">
      <c r="A34" s="1">
        <v>4</v>
      </c>
      <c r="B34" s="1" t="s">
        <v>53</v>
      </c>
      <c r="C34" s="78"/>
      <c r="D34" s="81" t="str">
        <f>VLOOKUP(B34,Translate!$B$3:$E$1449,3,FALSE)</f>
        <v>Dyraniad grant yr heddlu dan y brif fformiwla (gan gynnwys cyllido gwaelodol)</v>
      </c>
      <c r="E34" s="82" t="str">
        <f>IF(ISERROR(VLOOKUP(C34,Translate!$B$3:$E$1254,3,FALSE)),"",VLOOKUP(C34,Translate!$B$3:$E$1254,3,FALSE))</f>
        <v/>
      </c>
      <c r="F34" s="80" t="str">
        <f>IF(FrontPage!$E$7=1,D34&amp;E34,B34&amp;C34)</f>
        <v>Police grant allocation under principal formula (including floor funding)</v>
      </c>
    </row>
    <row r="35" spans="1:6" s="1" customFormat="1">
      <c r="A35" s="1">
        <v>5</v>
      </c>
      <c r="B35" s="1" t="s">
        <v>31</v>
      </c>
      <c r="C35" s="78"/>
      <c r="D35" s="81" t="str">
        <f>VLOOKUP(B35,Translate!$B$3:$E$1449,3,FALSE)</f>
        <v>Cyfanswm llinellau 2, 3 a 4</v>
      </c>
      <c r="E35" s="82" t="str">
        <f>IF(ISERROR(VLOOKUP(C35,Translate!$B$3:$E$1254,3,FALSE)),"",VLOOKUP(C35,Translate!$B$3:$E$1254,3,FALSE))</f>
        <v/>
      </c>
      <c r="F35" s="80" t="str">
        <f>IF(FrontPage!$E$7=1,D35&amp;E35,B35&amp;C35)</f>
        <v>Sum of lines 2, 3 and 4</v>
      </c>
    </row>
    <row r="36" spans="1:6" s="1" customFormat="1">
      <c r="A36" s="1">
        <v>6</v>
      </c>
      <c r="B36" s="78" t="s">
        <v>3191</v>
      </c>
      <c r="C36" s="78"/>
      <c r="D36" s="81" t="str">
        <f>VLOOKUP(B36,Translate!$B$3:$E$1449,3,FALSE)</f>
        <v>Swm i'w gasglu o'r dreth gyngor</v>
      </c>
      <c r="E36" s="82" t="str">
        <f>IF(ISERROR(VLOOKUP(C36,Translate!$B$3:$E$1254,3,FALSE)),"",VLOOKUP(C36,Translate!$B$3:$E$1254,3,FALSE))</f>
        <v/>
      </c>
      <c r="F36" s="80" t="str">
        <f>IF(FrontPage!$E$7=1,D36&amp;E36,B36&amp;C36)</f>
        <v>Amount to be collected from the council tax</v>
      </c>
    </row>
    <row r="37" spans="1:6" s="1" customFormat="1">
      <c r="A37" s="1">
        <v>7</v>
      </c>
      <c r="B37" s="1" t="s">
        <v>48</v>
      </c>
      <c r="C37" s="78"/>
      <c r="D37" s="81" t="str">
        <f>VLOOKUP(B37,Translate!$B$3:$E$1449,3,FALSE)</f>
        <v>Sylfaen y dreth gyngor ar gyfer yr ardal (cyfwerth â Band D)</v>
      </c>
      <c r="E37" s="82" t="str">
        <f>IF(ISERROR(VLOOKUP(C37,Translate!$B$3:$E$1254,3,FALSE)),"",VLOOKUP(C37,Translate!$B$3:$E$1254,3,FALSE))</f>
        <v/>
      </c>
      <c r="F37" s="80" t="str">
        <f>IF(FrontPage!$E$7=1,D37&amp;E37,B37&amp;C37)</f>
        <v>Council tax base for area (band D equivalent)</v>
      </c>
    </row>
    <row r="38" spans="1:6" s="1" customFormat="1">
      <c r="A38" s="1">
        <v>8</v>
      </c>
      <c r="B38" s="78" t="s">
        <v>3239</v>
      </c>
      <c r="C38" s="78"/>
      <c r="D38" s="81" t="str">
        <f>VLOOKUP(B38,Translate!$B$3:$E$1449,3,FALSE)</f>
        <v>Y dreth gyngor a gyfrifwyd o dan adran 44 (llinell 6 ÷ llinell 7)</v>
      </c>
      <c r="E38" s="82" t="str">
        <f>IF(ISERROR(VLOOKUP(C38,Translate!$B$3:$E$1254,3,FALSE)),"",VLOOKUP(C38,Translate!$B$3:$E$1254,3,FALSE))</f>
        <v/>
      </c>
      <c r="F38" s="80" t="str">
        <f>IF(FrontPage!$E$7=1,D38&amp;E38,B38&amp;C38)</f>
        <v>Council tax calculated under s44 (line 6 ÷ line 7)</v>
      </c>
    </row>
    <row r="39" spans="1:6" s="1" customFormat="1">
      <c r="B39" s="1" t="s">
        <v>54</v>
      </c>
      <c r="C39" s="78"/>
      <c r="D39" s="81" t="str">
        <f>VLOOKUP(B39,Translate!$B$3:$E$1449,3,FALSE)</f>
        <v xml:space="preserve">Praeseptau </v>
      </c>
      <c r="E39" s="82" t="str">
        <f>IF(ISERROR(VLOOKUP(C39,Translate!$B$3:$E$1254,3,FALSE)),"",VLOOKUP(C39,Translate!$B$3:$E$1254,3,FALSE))</f>
        <v/>
      </c>
      <c r="F39" s="80" t="str">
        <f>IF(FrontPage!$E$7=1,D39&amp;E39,B39&amp;C39)</f>
        <v>Precepts</v>
      </c>
    </row>
    <row r="40" spans="1:6" s="1" customFormat="1" ht="25.5">
      <c r="B40" s="81" t="s">
        <v>57</v>
      </c>
      <c r="C40" s="78"/>
      <c r="D40" s="81" t="str">
        <f>VLOOKUP(B40,Translate!$B$3:$E$1449,3,FALSE)</f>
        <v>(Swm y praeseptau a roddwyd i awdurdodau bilio yn unol ag adran 40(2)b o Ddeddf Cyllid Llywodraeth Leol 1992)</v>
      </c>
      <c r="E40" s="82" t="str">
        <f>IF(ISERROR(VLOOKUP(C40,Translate!$B$3:$E$1254,3,FALSE)),"",VLOOKUP(C40,Translate!$B$3:$E$1254,3,FALSE))</f>
        <v/>
      </c>
      <c r="F40" s="80" t="str">
        <f>IF(FrontPage!$E$7=1,D40&amp;E40,B40&amp;C40)</f>
        <v>(Amounts of precepts issued to billing authorities in accordance with section 40(2)b of the Local Government Finance Act 1992)</v>
      </c>
    </row>
    <row r="41" spans="1:6" s="1" customFormat="1">
      <c r="B41" s="1" t="s">
        <v>107</v>
      </c>
      <c r="C41" s="78"/>
      <c r="D41" s="81" t="str">
        <f>VLOOKUP(B41,Translate!$B$3:$E$1449,3,FALSE)</f>
        <v>Enw'r awdurdod bilio</v>
      </c>
      <c r="E41" s="82" t="str">
        <f>IF(ISERROR(VLOOKUP(C41,Translate!$B$3:$E$1254,3,FALSE)),"",VLOOKUP(C41,Translate!$B$3:$E$1254,3,FALSE))</f>
        <v/>
      </c>
      <c r="F41" s="80" t="str">
        <f>IF(FrontPage!$E$7=1,D41&amp;E41,B41&amp;C41)</f>
        <v>Name of billing authority</v>
      </c>
    </row>
    <row r="42" spans="1:6" s="1" customFormat="1">
      <c r="B42" s="1" t="s">
        <v>3253</v>
      </c>
      <c r="C42" s="78"/>
      <c r="D42" s="81" t="str">
        <f>VLOOKUP(B42,Translate!$B$3:$E$1449,3,FALSE)</f>
        <v>gwag</v>
      </c>
      <c r="E42" s="82" t="str">
        <f>IF(ISERROR(VLOOKUP(C42,Translate!$B$3:$E$1254,3,FALSE)),"",VLOOKUP(C42,Translate!$B$3:$E$1254,3,FALSE))</f>
        <v/>
      </c>
      <c r="F42" s="80" t="str">
        <f>IF(FrontPage!$E$7=1,D42&amp;E42,B42&amp;C42)</f>
        <v>Blank</v>
      </c>
    </row>
    <row r="43" spans="1:6" s="1" customFormat="1">
      <c r="B43" s="1" t="s">
        <v>3237</v>
      </c>
      <c r="C43" s="78"/>
      <c r="D43" s="81" t="str">
        <f>VLOOKUP(B43,Translate!$B$3:$E$1449,3,FALSE)</f>
        <v>Cyfanswm llinellau 11 i 17 (i gyfateb â llinellau 7 a 6 uchod)</v>
      </c>
      <c r="E43" s="82" t="str">
        <f>IF(ISERROR(VLOOKUP(C43,Translate!$B$3:$E$1254,3,FALSE)),"",VLOOKUP(C43,Translate!$B$3:$E$1254,3,FALSE))</f>
        <v/>
      </c>
      <c r="F43" s="80" t="str">
        <f>IF(FrontPage!$E$7=1,D43&amp;E43,B43&amp;C43)</f>
        <v>Total of lines 11 to 17 (to agree with lines 7 and 6 above)</v>
      </c>
    </row>
    <row r="44" spans="1:6" s="1" customFormat="1">
      <c r="B44" s="1" t="s">
        <v>3038</v>
      </c>
      <c r="C44" s="78"/>
      <c r="D44" s="81" t="str">
        <f>VLOOKUP(B44,Translate!$B$3:$E$1449,3,FALSE)</f>
        <v>Ardystuad Y Prif Swyddog Cyllid</v>
      </c>
      <c r="E44" s="82" t="str">
        <f>IF(ISERROR(VLOOKUP(C44,Translate!$B$3:$E$1254,3,FALSE)),"",VLOOKUP(C44,Translate!$B$3:$E$1254,3,FALSE))</f>
        <v/>
      </c>
      <c r="F44" s="80" t="str">
        <f>IF(FrontPage!$E$7=1,D44&amp;E44,B44&amp;C44)</f>
        <v>Certification of Chief Financial Officer</v>
      </c>
    </row>
    <row r="45" spans="1:6" s="1" customFormat="1" ht="51">
      <c r="B45" s="94" t="s">
        <v>3220</v>
      </c>
      <c r="C45" s="78"/>
      <c r="D45" s="81" t="s">
        <v>3297</v>
      </c>
      <c r="E45" s="82" t="str">
        <f>IF(ISERROR(VLOOKUP(C45,Translate!$B$3:$E$1254,3,FALSE)),"",VLOOKUP(C45,Translate!$B$3:$E$1254,3,FALSE))</f>
        <v/>
      </c>
      <c r="F45" s="80" t="str">
        <f>IF(FrontPage!$E$7=1,D45&amp;E45,B45&amp;C45)</f>
        <v>I certify that, to the best of my knowledge and belief, the information provided on this form is correct and consistent with the estimates and calculations made by my authority for the purposes of making its calculations under sections 32 and 33 of the Local Government Finance Act 1992, as amended.</v>
      </c>
    </row>
    <row r="46" spans="1:6" s="1" customFormat="1">
      <c r="B46" s="94" t="s">
        <v>72</v>
      </c>
      <c r="C46" s="78"/>
      <c r="D46" s="81" t="str">
        <f>VLOOKUP(B46,Translate!$B$3:$E$1449,3,FALSE)</f>
        <v>Llofnod Y Prif Swyddog Cyllid:</v>
      </c>
      <c r="E46" s="82" t="str">
        <f>IF(ISERROR(VLOOKUP(C46,Translate!$B$3:$E$1254,3,FALSE)),"",VLOOKUP(C46,Translate!$B$3:$E$1254,3,FALSE))</f>
        <v/>
      </c>
      <c r="F46" s="80" t="str">
        <f>IF(FrontPage!$E$7=1,D46&amp;E46,B46&amp;C46)</f>
        <v>Signature of Chief Financial Officer:</v>
      </c>
    </row>
    <row r="47" spans="1:6" s="1" customFormat="1">
      <c r="B47" s="78" t="s">
        <v>3221</v>
      </c>
      <c r="C47" s="78"/>
      <c r="D47" s="81" t="str">
        <f>VLOOKUP(B47,Translate!$B$3:$E$1449,3,FALSE)</f>
        <v>Am gweinyddu Llywodraeth Cymru yn unig</v>
      </c>
      <c r="E47" s="82" t="str">
        <f>IF(ISERROR(VLOOKUP(C47,Translate!$B$3:$E$1254,3,FALSE)),"",VLOOKUP(C47,Translate!$B$3:$E$1254,3,FALSE))</f>
        <v/>
      </c>
      <c r="F47" s="80" t="str">
        <f>IF(FrontPage!$E$7=1,D47&amp;E47,B47&amp;C47)</f>
        <v>For Welsh Government administration only</v>
      </c>
    </row>
    <row r="48" spans="1:6" s="1" customFormat="1">
      <c r="B48" s="78" t="s">
        <v>3175</v>
      </c>
      <c r="C48" s="78"/>
      <c r="D48" s="81" t="str">
        <f>VLOOKUP(B48,Translate!$B$3:$E$1449,3,FALSE)</f>
        <v>nifer</v>
      </c>
      <c r="E48" s="82" t="str">
        <f>IF(ISERROR(VLOOKUP(C48,Translate!$B$3:$E$1254,3,FALSE)),"",VLOOKUP(C48,Translate!$B$3:$E$1254,3,FALSE))</f>
        <v/>
      </c>
      <c r="F48" s="80" t="str">
        <f>IF(FrontPage!$E$7=1,D48&amp;E48,B48&amp;C48)</f>
        <v>number</v>
      </c>
    </row>
    <row r="49" spans="2:6" s="1" customFormat="1">
      <c r="B49" s="78" t="s">
        <v>3238</v>
      </c>
      <c r="C49" s="78"/>
      <c r="D49" s="81" t="str">
        <f>VLOOKUP(B49,Translate!$B$3:$E$1449,3,FALSE)</f>
        <v>Sylfaen drethu (cyfwerth â Band D)</v>
      </c>
      <c r="E49" s="82" t="str">
        <f>IF(ISERROR(VLOOKUP(C49,Translate!$B$3:$E$1254,3,FALSE)),"",VLOOKUP(C49,Translate!$B$3:$E$1254,3,FALSE))</f>
        <v/>
      </c>
      <c r="F49" s="80" t="str">
        <f>IF(FrontPage!$E$7=1,D49&amp;E49,B49&amp;C49)</f>
        <v>Taxbase (Band D equivalent)</v>
      </c>
    </row>
    <row r="50" spans="2:6" s="1" customFormat="1">
      <c r="B50" s="78" t="s">
        <v>66</v>
      </c>
      <c r="C50" s="78"/>
      <c r="D50" s="81" t="str">
        <f>VLOOKUP(B50,Translate!$B$3:$E$1449,3,FALSE)</f>
        <v>Praesept</v>
      </c>
      <c r="E50" s="82" t="str">
        <f>IF(ISERROR(VLOOKUP(C50,Translate!$B$3:$E$1254,3,FALSE)),"",VLOOKUP(C50,Translate!$B$3:$E$1254,3,FALSE))</f>
        <v/>
      </c>
      <c r="F50" s="80" t="str">
        <f>IF(FrontPage!$E$7=1,D50&amp;E50,B50&amp;C50)</f>
        <v>Precept</v>
      </c>
    </row>
    <row r="51" spans="2:6" s="1" customFormat="1">
      <c r="B51" s="78" t="s">
        <v>3182</v>
      </c>
      <c r="C51" s="78"/>
      <c r="D51" s="81" t="str">
        <f>VLOOKUP(B51,Translate!$B$3:$E$1449,3,FALSE)</f>
        <v>heb gynnwys praeseptau cynghorau cymuned</v>
      </c>
      <c r="E51" s="82" t="str">
        <f>IF(ISERROR(VLOOKUP(C51,Translate!$B$3:$E$1254,3,FALSE)),"",VLOOKUP(C51,Translate!$B$3:$E$1254,3,FALSE))</f>
        <v/>
      </c>
      <c r="F51" s="80" t="str">
        <f>IF(FrontPage!$E$7=1,D51&amp;E51,B51&amp;C51)</f>
        <v>excluding community council precepts</v>
      </c>
    </row>
    <row r="52" spans="2:6" s="1" customFormat="1">
      <c r="B52" s="78" t="s">
        <v>3183</v>
      </c>
      <c r="C52" s="78"/>
      <c r="D52" s="81" t="str">
        <f>VLOOKUP(B52,Translate!$B$3:$E$1449,3,FALSE)</f>
        <v>gan gynnwys praeseptau cynghorau cymuned</v>
      </c>
      <c r="E52" s="82" t="str">
        <f>IF(ISERROR(VLOOKUP(C52,Translate!$B$3:$E$1254,3,FALSE)),"",VLOOKUP(C52,Translate!$B$3:$E$1254,3,FALSE))</f>
        <v/>
      </c>
      <c r="F52" s="80" t="str">
        <f>IF(FrontPage!$E$7=1,D52&amp;E52,B52&amp;C52)</f>
        <v>including community council precepts</v>
      </c>
    </row>
    <row r="53" spans="2:6" s="1" customFormat="1">
      <c r="B53" s="78" t="s">
        <v>3054</v>
      </c>
      <c r="C53" s="78"/>
      <c r="D53" s="81" t="str">
        <f>VLOOKUP(B53,Translate!$B$3:$E$1449,3,FALSE)</f>
        <v>Dyddiad:</v>
      </c>
      <c r="E53" s="82" t="str">
        <f>IF(ISERROR(VLOOKUP(C53,Translate!$B$3:$E$1254,3,FALSE)),"",VLOOKUP(C53,Translate!$B$3:$E$1254,3,FALSE))</f>
        <v/>
      </c>
      <c r="F53" s="80" t="str">
        <f>IF(FrontPage!$E$7=1,D53&amp;E53,B53&amp;C53)</f>
        <v>Date:</v>
      </c>
    </row>
    <row r="54" spans="2:6" s="1" customFormat="1">
      <c r="B54" s="78" t="s">
        <v>3181</v>
      </c>
      <c r="C54" s="78"/>
      <c r="D54" s="81" t="str">
        <f>VLOOKUP(B54,Translate!$B$3:$E$1449,3,FALSE)</f>
        <v>wedi cyfrifo</v>
      </c>
      <c r="E54" s="82" t="str">
        <f>IF(ISERROR(VLOOKUP(C54,Translate!$B$3:$E$1254,3,FALSE)),"",VLOOKUP(C54,Translate!$B$3:$E$1254,3,FALSE))</f>
        <v/>
      </c>
      <c r="F54" s="80" t="str">
        <f>IF(FrontPage!$E$7=1,D54&amp;E54,B54&amp;C54)</f>
        <v>calculated</v>
      </c>
    </row>
    <row r="55" spans="2:6" s="1" customFormat="1">
      <c r="B55" s="78" t="s">
        <v>3326</v>
      </c>
      <c r="C55" s="78"/>
      <c r="D55" s="81" t="str">
        <f>VLOOKUP(B55,Translate!$B$3:$E$1449,3,FALSE)</f>
        <v>Allwedd ar gyfer celloedd yng ngholofni F, G:</v>
      </c>
      <c r="E55" s="82" t="str">
        <f>IF(ISERROR(VLOOKUP(C55,Translate!$B$3:$E$1254,3,FALSE)),"",VLOOKUP(C55,Translate!$B$3:$E$1254,3,FALSE))</f>
        <v/>
      </c>
      <c r="F55" s="80" t="str">
        <f>IF(FrontPage!$E$7=1,D55&amp;E55,B55&amp;C55)</f>
        <v>Key for cells in columns F, G:</v>
      </c>
    </row>
    <row r="56" spans="2:6" s="1" customFormat="1">
      <c r="B56" s="78" t="s">
        <v>223</v>
      </c>
      <c r="C56" s="78"/>
      <c r="D56" s="81" t="str">
        <f>VLOOKUP(B56,Translate!$B$3:$E$1449,3,FALSE)</f>
        <v>mewnbwn</v>
      </c>
      <c r="E56" s="82" t="str">
        <f>IF(ISERROR(VLOOKUP(C56,Translate!$B$3:$E$1254,3,FALSE)),"",VLOOKUP(C56,Translate!$B$3:$E$1254,3,FALSE))</f>
        <v/>
      </c>
      <c r="F56" s="80" t="str">
        <f>IF(FrontPage!$E$7=1,D56&amp;E56,B56&amp;C56)</f>
        <v>Input</v>
      </c>
    </row>
    <row r="57" spans="2:6" s="1" customFormat="1">
      <c r="B57" s="78" t="s">
        <v>224</v>
      </c>
      <c r="C57" s="78"/>
      <c r="D57" s="81" t="str">
        <f>VLOOKUP(B57,Translate!$B$3:$E$1449,3,FALSE)</f>
        <v>wedi cloi</v>
      </c>
      <c r="E57" s="82" t="str">
        <f>IF(ISERROR(VLOOKUP(C57,Translate!$B$3:$E$1254,3,FALSE)),"",VLOOKUP(C57,Translate!$B$3:$E$1254,3,FALSE))</f>
        <v/>
      </c>
      <c r="F57" s="80" t="str">
        <f>IF(FrontPage!$E$7=1,D57&amp;E57,B57&amp;C57)</f>
        <v>Locked</v>
      </c>
    </row>
    <row r="58" spans="2:6" s="1" customFormat="1">
      <c r="B58" s="78" t="s">
        <v>2874</v>
      </c>
      <c r="C58" s="78"/>
      <c r="D58" s="81" t="str">
        <f>VLOOKUP(B58,Translate!$B$3:$E$1449,3,FALSE)</f>
        <v>Er gwybodaeth</v>
      </c>
      <c r="E58" s="82" t="str">
        <f>IF(ISERROR(VLOOKUP(C58,Translate!$B$3:$E$1254,3,FALSE)),"",VLOOKUP(C58,Translate!$B$3:$E$1254,3,FALSE))</f>
        <v/>
      </c>
      <c r="F58" s="80" t="str">
        <f>IF(FrontPage!$E$7=1,D58&amp;E58,B58&amp;C58)</f>
        <v>For information</v>
      </c>
    </row>
    <row r="59" spans="2:6" s="1" customFormat="1">
      <c r="B59" s="78" t="s">
        <v>52</v>
      </c>
      <c r="C59" s="78"/>
      <c r="D59" s="81" t="str">
        <f>VLOOKUP(B59,Translate!$B$3:$E$1449,3,FALSE)</f>
        <v>Dilysu</v>
      </c>
      <c r="E59" s="82" t="str">
        <f>IF(ISERROR(VLOOKUP(C59,Translate!$B$3:$E$1254,3,FALSE)),"",VLOOKUP(C59,Translate!$B$3:$E$1254,3,FALSE))</f>
        <v/>
      </c>
      <c r="F59" s="80" t="str">
        <f>IF(FrontPage!$E$7=1,D59&amp;E59,B59&amp;C59)</f>
        <v>Validation</v>
      </c>
    </row>
    <row r="60" spans="2:6" s="1" customFormat="1">
      <c r="B60" s="78" t="s">
        <v>3240</v>
      </c>
      <c r="C60" s="78"/>
      <c r="D60" s="81" t="str">
        <f>VLOOKUP(B60,Translate!$B$3:$E$1449,3,FALSE)</f>
        <v xml:space="preserve">sylfaen drethu  </v>
      </c>
      <c r="E60" s="82" t="str">
        <f>IF(ISERROR(VLOOKUP(C60,Translate!$B$3:$E$1254,3,FALSE)),"",VLOOKUP(C60,Translate!$B$3:$E$1254,3,FALSE))</f>
        <v/>
      </c>
      <c r="F60" s="80" t="str">
        <f>IF(FrontPage!$E$7=1,D60&amp;E60,B60&amp;C60)</f>
        <v>taxbase</v>
      </c>
    </row>
    <row r="61" spans="2:6" s="1" customFormat="1" ht="25.5">
      <c r="B61" s="78"/>
      <c r="C61" s="78" t="s">
        <v>3461</v>
      </c>
      <c r="D61" s="81"/>
      <c r="E61" s="82" t="s">
        <v>3463</v>
      </c>
      <c r="F61" s="80" t="str">
        <f>IF(FrontPage!$E$7=1,D61&amp;E61,B61&amp;C61)</f>
        <v>Line 18 Col. 3 minus line 7</v>
      </c>
    </row>
    <row r="62" spans="2:6" s="1" customFormat="1" ht="25.5">
      <c r="B62" s="78"/>
      <c r="C62" s="78" t="s">
        <v>3462</v>
      </c>
      <c r="D62" s="81"/>
      <c r="E62" s="82" t="s">
        <v>3464</v>
      </c>
      <c r="F62" s="80" t="str">
        <f>IF(FrontPage!$E$7=1,D62&amp;E62,B62&amp;C62)</f>
        <v xml:space="preserve">Line 18 Col. 4 minus line 6 </v>
      </c>
    </row>
    <row r="63" spans="2:6" s="1" customFormat="1">
      <c r="B63" s="78" t="s">
        <v>3242</v>
      </c>
      <c r="C63" s="78"/>
      <c r="D63" s="81" t="str">
        <f>VLOOKUP(B63,Translate!$B$3:$E$1449,3,FALSE)</f>
        <v>Dewiswch eich awdurdod ar y dudalen flaen</v>
      </c>
      <c r="E63" s="82" t="str">
        <f>IF(ISERROR(VLOOKUP(C63,Translate!$B$3:$E$1254,3,FALSE)),"",VLOOKUP(C63,Translate!$B$3:$E$1254,3,FALSE))</f>
        <v/>
      </c>
      <c r="F63" s="80" t="str">
        <f>IF(FrontPage!$E$7=1,D63&amp;E63,B63&amp;C63)</f>
        <v>please select your authority on Front Page</v>
      </c>
    </row>
    <row r="64" spans="2:6" s="1" customFormat="1">
      <c r="B64" s="78" t="s">
        <v>2886</v>
      </c>
      <c r="C64" s="78"/>
      <c r="D64" s="81" t="str">
        <f>VLOOKUP(B64,Translate!$B$3:$E$1449,3,FALSE)</f>
        <v>Dewiswch eich awdurdod</v>
      </c>
      <c r="E64" s="82" t="str">
        <f>IF(ISERROR(VLOOKUP(C64,Translate!$B$3:$E$1254,3,FALSE)),"",VLOOKUP(C64,Translate!$B$3:$E$1254,3,FALSE))</f>
        <v/>
      </c>
      <c r="F64" s="80" t="str">
        <f>IF(FrontPage!$E$7=1,D64&amp;E64,B64&amp;C64)</f>
        <v>select your authority</v>
      </c>
    </row>
    <row r="65" spans="1:6" s="1" customFormat="1" ht="39" customHeight="1">
      <c r="A65" s="310"/>
      <c r="B65" s="309" t="s">
        <v>3465</v>
      </c>
      <c r="C65" s="78"/>
      <c r="D65" s="81" t="str">
        <f>VLOOKUP(B65,Translate!$B$3:$E$1449,3,FALSE)</f>
        <v>Daw celloedd J18, J19 a J20 uchod oddi wrth y Setliad yr Heddlu Lywodraeth Leol, rhaid eu hailadrodd yng nghelloedd G18, G19 a G20, a dyna pam mae'r celloedd hynny wedi'u cloi.</v>
      </c>
      <c r="E65" s="82"/>
      <c r="F65" s="80" t="str">
        <f>IF(FrontPage!$E$7=1,D65&amp;E65,B65&amp;C65)</f>
        <v>Cells J18, J19 and J20 above come from the Local Government Police Settlement, they must be repeated in cells G18, G19 and G20 which is why those cells are locked.</v>
      </c>
    </row>
    <row r="66" spans="1:6">
      <c r="A66" s="95" t="s">
        <v>95</v>
      </c>
      <c r="B66" s="96"/>
      <c r="C66" s="96"/>
      <c r="D66" s="87"/>
      <c r="E66" s="88"/>
      <c r="F66" s="96"/>
    </row>
    <row r="67" spans="1:6">
      <c r="B67" s="80" t="s">
        <v>95</v>
      </c>
      <c r="D67" s="81" t="str">
        <f>VLOOKUP(B67,Translate!$B$3:$E$1449,3,FALSE)</f>
        <v>Y Baich o Ymateb i'r Arolwg</v>
      </c>
      <c r="E67" s="82" t="str">
        <f>IF(ISERROR(VLOOKUP(C67,Translate!$B$3:$E$1254,3,FALSE)),"",VLOOKUP(C67,Translate!$B$3:$E$1254,3,FALSE))</f>
        <v/>
      </c>
      <c r="F67" s="80" t="str">
        <f>IF(FrontPage!$E$7=1,D67&amp;E67,B67&amp;C67)</f>
        <v>Survey Response Burden</v>
      </c>
    </row>
    <row r="68" spans="1:6" ht="25.5">
      <c r="B68" s="80" t="s">
        <v>106</v>
      </c>
      <c r="D68" s="81" t="str">
        <f>VLOOKUP(B68,Translate!$B$3:$E$1449,3,FALSE)</f>
        <v xml:space="preserve">Mae Llywodraeth Cymru yn monitro'r baich o lenwi'r ffurflen casglu data hon. </v>
      </c>
      <c r="E68" s="82" t="str">
        <f>IF(ISERROR(VLOOKUP(C68,Translate!$B$3:$E$1254,3,FALSE)),"",VLOOKUP(C68,Translate!$B$3:$E$1254,3,FALSE))</f>
        <v/>
      </c>
      <c r="F68" s="80" t="str">
        <f>IF(FrontPage!$E$7=1,D68&amp;E68,B68&amp;C68)</f>
        <v xml:space="preserve">The Welsh Government are monitoring the burden of completing this data collection form. </v>
      </c>
    </row>
    <row r="69" spans="1:6" ht="25.5">
      <c r="B69" s="80" t="s">
        <v>96</v>
      </c>
      <c r="D69" s="81" t="str">
        <f>VLOOKUP(B69,Translate!$B$3:$E$1449,3,FALSE)</f>
        <v xml:space="preserve">Nodwch yr amser a gymerwyd gennych chi (ac unrhyw gydweithwyr) i baratoi ac anfon y ffurflen. </v>
      </c>
      <c r="E69" s="82" t="str">
        <f>IF(ISERROR(VLOOKUP(C69,Translate!$B$3:$E$1254,3,FALSE)),"",VLOOKUP(C69,Translate!$B$3:$E$1254,3,FALSE))</f>
        <v/>
      </c>
      <c r="F69" s="80" t="str">
        <f>IF(FrontPage!$E$7=1,D69&amp;E69,B69&amp;C69)</f>
        <v>Please enter the time it has taken you (and any colleagues) to prepare and send the return.</v>
      </c>
    </row>
    <row r="70" spans="1:6" ht="25.5">
      <c r="B70" s="80" t="s">
        <v>97</v>
      </c>
      <c r="D70" s="81" t="str">
        <f>VLOOKUP(B70,Translate!$B$3:$E$1449,3,FALSE)</f>
        <v>Dylech gynnwys yr amser a dreuliwyd ar weithgarwch i baratoi ac anfon y ffurflen hon yn unig, megis:</v>
      </c>
      <c r="E70" s="82" t="str">
        <f>IF(ISERROR(VLOOKUP(C70,Translate!$B$3:$E$1254,3,FALSE)),"",VLOOKUP(C70,Translate!$B$3:$E$1254,3,FALSE))</f>
        <v/>
      </c>
      <c r="F70" s="80" t="str">
        <f>IF(FrontPage!$E$7=1,D70&amp;E70,B70&amp;C70)</f>
        <v>Please only include time spent on activities to prepare and send this return, such as:</v>
      </c>
    </row>
    <row r="71" spans="1:6">
      <c r="B71" s="80" t="s">
        <v>1283</v>
      </c>
      <c r="D71" s="81" t="str">
        <f>VLOOKUP(B71,Translate!$B$3:$E$1449,3,FALSE)</f>
        <v>casglu, dadansoddi a chyfuno'r cofnodion a'r data gofynnol</v>
      </c>
      <c r="E71" s="82" t="str">
        <f>IF(ISERROR(VLOOKUP(C71,Translate!$B$3:$E$1254,3,FALSE)),"",VLOOKUP(C71,Translate!$B$3:$E$1254,3,FALSE))</f>
        <v/>
      </c>
      <c r="F71" s="80" t="str">
        <f>IF(FrontPage!$E$7=1,D71&amp;E71,B71&amp;C71)</f>
        <v>collection, analysis and aggregation of records and data required;</v>
      </c>
    </row>
    <row r="72" spans="1:6">
      <c r="B72" s="80" t="s">
        <v>1286</v>
      </c>
      <c r="D72" s="81" t="str">
        <f>VLOOKUP(B72,Translate!$B$3:$E$1449,3,FALSE)</f>
        <v>cwblhau, gwirio, diwygio a chymeradwyo'r ffurflen.</v>
      </c>
      <c r="E72" s="82" t="str">
        <f>IF(ISERROR(VLOOKUP(C72,Translate!$B$3:$E$1254,3,FALSE)),"",VLOOKUP(C72,Translate!$B$3:$E$1254,3,FALSE))</f>
        <v/>
      </c>
      <c r="F72" s="80" t="str">
        <f>IF(FrontPage!$E$7=1,D72&amp;E72,B72&amp;C72)</f>
        <v>completing, checking, amending and approving the form.</v>
      </c>
    </row>
    <row r="73" spans="1:6">
      <c r="B73" s="80" t="s">
        <v>98</v>
      </c>
      <c r="D73" s="81" t="str">
        <f>VLOOKUP(B73,Translate!$B$3:$E$1449,3,FALSE)</f>
        <v>Nifer yr oriau</v>
      </c>
      <c r="E73" s="82" t="str">
        <f>IF(ISERROR(VLOOKUP(C73,Translate!$B$3:$E$1254,3,FALSE)),"",VLOOKUP(C73,Translate!$B$3:$E$1254,3,FALSE))</f>
        <v/>
      </c>
      <c r="F73" s="80" t="str">
        <f>IF(FrontPage!$E$7=1,D73&amp;E73,B73&amp;C73)</f>
        <v>Hours taken</v>
      </c>
    </row>
    <row r="74" spans="1:6">
      <c r="B74" s="80" t="s">
        <v>99</v>
      </c>
      <c r="D74" s="81" t="str">
        <f>VLOOKUP(B74,Translate!$B$3:$E$1449,3,FALSE)</f>
        <v>Mae croeso i chi ychwanegu unrhyw sylwadau</v>
      </c>
      <c r="E74" s="82" t="str">
        <f>IF(ISERROR(VLOOKUP(C74,Translate!$B$3:$E$1254,3,FALSE)),"",VLOOKUP(C74,Translate!$B$3:$E$1254,3,FALSE))</f>
        <v/>
      </c>
      <c r="F74" s="80" t="str">
        <f>IF(FrontPage!$E$7=1,D74&amp;E74,B74&amp;C74)</f>
        <v>Please feel free to add any comments</v>
      </c>
    </row>
    <row r="75" spans="1:6">
      <c r="B75" s="80" t="s">
        <v>1293</v>
      </c>
      <c r="D75" s="81" t="str">
        <f>VLOOKUP(B75,Translate!$B$3:$E$1449,3,FALSE)</f>
        <v>Sylwadau</v>
      </c>
      <c r="E75" s="82" t="str">
        <f>IF(ISERROR(VLOOKUP(C75,Translate!$B$3:$E$1254,3,FALSE)),"",VLOOKUP(C75,Translate!$B$3:$E$1254,3,FALSE))</f>
        <v/>
      </c>
      <c r="F75" s="80" t="str">
        <f>IF(FrontPage!$E$7=1,D75&amp;E75,B75&amp;C75)</f>
        <v>Comments</v>
      </c>
    </row>
    <row r="76" spans="1:6" ht="25.5">
      <c r="B76" s="80" t="s">
        <v>105</v>
      </c>
      <c r="D76" s="81" t="str">
        <f>VLOOKUP(B76,Translate!$B$3:$E$1449,3,FALSE)</f>
        <v>Cliciwch ar y ddolen isod i gael canllawiau ar gyfer y ffurflenni unigol (mae angen mynediad at y we)</v>
      </c>
      <c r="E76" s="82" t="str">
        <f>IF(ISERROR(VLOOKUP(C76,Translate!$B$3:$E$1254,3,FALSE)),"",VLOOKUP(C76,Translate!$B$3:$E$1254,3,FALSE))</f>
        <v/>
      </c>
      <c r="F76" s="80" t="str">
        <f>IF(FrontPage!$E$7=1,D76&amp;E76,B76&amp;C76)</f>
        <v>Click the link below for notes for guidance for individual forms (Web access required)</v>
      </c>
    </row>
    <row r="77" spans="1:6">
      <c r="B77" s="80" t="s">
        <v>91</v>
      </c>
      <c r="D77" s="81" t="str">
        <f>VLOOKUP(B77,Translate!$B$3:$E$1449,3,FALSE)</f>
        <v>Hyperddolen canllawiau</v>
      </c>
      <c r="E77" s="82" t="str">
        <f>IF(ISERROR(VLOOKUP(C77,Translate!$B$3:$E$1254,3,FALSE)),"",VLOOKUP(C77,Translate!$B$3:$E$1254,3,FALSE))</f>
        <v/>
      </c>
      <c r="F77" s="80" t="str">
        <f>IF(FrontPage!$E$7=1,D77&amp;E77,B77&amp;C77)</f>
        <v>Notes for guidance hyperlink</v>
      </c>
    </row>
    <row r="78" spans="1:6" ht="51">
      <c r="B78" s="80" t="s">
        <v>1300</v>
      </c>
      <c r="D78" s="81" t="str">
        <f>VLOOKUP(B78,Translate!$B$3:$E$1449,3,FALSE)</f>
        <v xml:space="preserve">Rydym bob amser yn ceisio gwella'r ffurflen i'w gwneud yn haws i'w llenwi, gan barhau i sicrhau cywirdeb data a chysondeb ar gyfer yr holl awdurdodau. Os oes gennych unrhyw sylwadau neu awgrymiadau a allai fod yn ddefnyddiol, nodwch nhw isod: </v>
      </c>
      <c r="E78" s="82" t="str">
        <f>IF(ISERROR(VLOOKUP(C78,Translate!$B$3:$E$1254,3,FALSE)),"",VLOOKUP(C78,Translate!$B$3:$E$1254,3,FALSE))</f>
        <v/>
      </c>
      <c r="F78" s="80" t="str">
        <f>IF(FrontPage!$E$7=1,D78&amp;E78,B78&amp;C78)</f>
        <v>We are continually striving to improve the form to make it easier to complete, whilst still ensuring data integrity and consistency across all authorities. If you have any comments or suggestions that may be useful,  please note them below:</v>
      </c>
    </row>
    <row r="79" spans="1:6">
      <c r="B79" s="80" t="s">
        <v>92</v>
      </c>
      <c r="D79" s="81" t="str">
        <f>VLOOKUP(B79,Translate!$B$3:$E$1449,3,FALSE)</f>
        <v>Dyluniad y ffurflen</v>
      </c>
      <c r="E79" s="82" t="str">
        <f>IF(ISERROR(VLOOKUP(C79,Translate!$B$3:$E$1254,3,FALSE)),"",VLOOKUP(C79,Translate!$B$3:$E$1254,3,FALSE))</f>
        <v/>
      </c>
      <c r="F79" s="80" t="str">
        <f>IF(FrontPage!$E$7=1,D79&amp;E79,B79&amp;C79)</f>
        <v>Form Design</v>
      </c>
    </row>
    <row r="80" spans="1:6">
      <c r="B80" s="80" t="s">
        <v>52</v>
      </c>
      <c r="D80" s="81" t="str">
        <f>VLOOKUP(B80,Translate!$B$3:$E$1449,3,FALSE)</f>
        <v>Dilysu</v>
      </c>
      <c r="E80" s="82" t="str">
        <f>IF(ISERROR(VLOOKUP(C80,Translate!$B$3:$E$1254,3,FALSE)),"",VLOOKUP(C80,Translate!$B$3:$E$1254,3,FALSE))</f>
        <v/>
      </c>
      <c r="F80" s="80" t="str">
        <f>IF(FrontPage!$E$7=1,D80&amp;E80,B80&amp;C80)</f>
        <v>Validation</v>
      </c>
    </row>
    <row r="81" spans="2:6">
      <c r="B81" s="80" t="s">
        <v>93</v>
      </c>
      <c r="D81" s="81" t="str">
        <f>VLOOKUP(B81,Translate!$B$3:$E$1449,3,FALSE)</f>
        <v>Dogfennaeth</v>
      </c>
      <c r="E81" s="82" t="str">
        <f>IF(ISERROR(VLOOKUP(C81,Translate!$B$3:$E$1254,3,FALSE)),"",VLOOKUP(C81,Translate!$B$3:$E$1254,3,FALSE))</f>
        <v/>
      </c>
      <c r="F81" s="80" t="str">
        <f>IF(FrontPage!$E$7=1,D81&amp;E81,B81&amp;C81)</f>
        <v>Documentation</v>
      </c>
    </row>
    <row r="82" spans="2:6">
      <c r="B82" s="80" t="s">
        <v>1309</v>
      </c>
      <c r="D82" s="81" t="str">
        <f>VLOOKUP(B82,Translate!$B$3:$E$1449,3,FALSE)</f>
        <v>Sylwadau cyffredinol</v>
      </c>
      <c r="E82" s="82" t="str">
        <f>IF(ISERROR(VLOOKUP(C82,Translate!$B$3:$E$1254,3,FALSE)),"",VLOOKUP(C82,Translate!$B$3:$E$1254,3,FALSE))</f>
        <v/>
      </c>
      <c r="F82" s="80" t="str">
        <f>IF(FrontPage!$E$7=1,D82&amp;E82,B82&amp;C82)</f>
        <v>General comments</v>
      </c>
    </row>
    <row r="83" spans="2:6">
      <c r="B83" s="80" t="s">
        <v>1252</v>
      </c>
      <c r="D83" s="81" t="str">
        <f>VLOOKUP(B83,Translate!$B$3:$E$1449,3,FALSE)</f>
        <v>Rhowch sylw</v>
      </c>
      <c r="E83" s="82" t="str">
        <f>IF(ISERROR(VLOOKUP(C83,Translate!$B$3:$E$1254,3,FALSE)),"",VLOOKUP(C83,Translate!$B$3:$E$1254,3,FALSE))</f>
        <v/>
      </c>
      <c r="F83" s="80" t="str">
        <f>IF(FrontPage!$E$7=1,D83&amp;E83,B83&amp;C83)</f>
        <v>Please comment</v>
      </c>
    </row>
    <row r="84" spans="2:6">
      <c r="B84" s="80" t="s">
        <v>3164</v>
      </c>
      <c r="D84" s="81" t="str">
        <f>VLOOKUP(B84,Translate!$B$3:$E$1449,3,FALSE)</f>
        <v>Gwiriadau dilysu - ychwanegwch sylwadau lle gofynnir am hynny</v>
      </c>
      <c r="E84" s="82" t="str">
        <f>IF(ISERROR(VLOOKUP(C84,Translate!$B$3:$E$1254,3,FALSE)),"",VLOOKUP(C84,Translate!$B$3:$E$1254,3,FALSE))</f>
        <v/>
      </c>
      <c r="F84" s="80" t="str">
        <f>IF(FrontPage!$E$7=1,D84&amp;E84,B84&amp;C84)</f>
        <v>Validation checks  -  please insert comments where requested</v>
      </c>
    </row>
    <row r="85" spans="2:6">
      <c r="B85" s="80" t="s">
        <v>229</v>
      </c>
      <c r="D85" s="81" t="str">
        <f>VLOOKUP(B85,Translate!$B$3:$E$1449,3,FALSE)</f>
        <v>Blwyddyn</v>
      </c>
      <c r="E85" s="82" t="str">
        <f>IF(ISERROR(VLOOKUP(C85,Translate!$B$3:$E$1254,3,FALSE)),"",VLOOKUP(C85,Translate!$B$3:$E$1254,3,FALSE))</f>
        <v/>
      </c>
      <c r="F85" s="80" t="str">
        <f>IF(FrontPage!$E$7=1,D85&amp;E85,B85&amp;C85)</f>
        <v>Year</v>
      </c>
    </row>
    <row r="86" spans="2:6">
      <c r="B86" s="80" t="s">
        <v>3222</v>
      </c>
      <c r="D86" s="81" t="str">
        <f>VLOOKUP(B86,Translate!$B$3:$E$1449,3,FALSE)</f>
        <v>Goddefiant</v>
      </c>
      <c r="E86" s="82" t="str">
        <f>IF(ISERROR(VLOOKUP(C86,Translate!$B$3:$E$1254,3,FALSE)),"",VLOOKUP(C86,Translate!$B$3:$E$1254,3,FALSE))</f>
        <v/>
      </c>
      <c r="F86" s="80" t="str">
        <f>IF(FrontPage!$E$7=1,D86&amp;E86,B86&amp;C86)</f>
        <v>tolerance</v>
      </c>
    </row>
    <row r="87" spans="2:6">
      <c r="D87" s="81"/>
      <c r="E87" s="82" t="str">
        <f>IF(ISERROR(VLOOKUP(C87,Translate!$B$3:$E$1254,3,FALSE)),"",VLOOKUP(C87,Translate!$B$3:$E$1254,3,FALSE))</f>
        <v/>
      </c>
      <c r="F87" s="80" t="str">
        <f>IF(FrontPage!$E$7=1,D87&amp;E87,B87&amp;C87)</f>
        <v/>
      </c>
    </row>
    <row r="88" spans="2:6">
      <c r="B88" s="80" t="s">
        <v>3331</v>
      </c>
      <c r="D88" s="81" t="str">
        <f>VLOOKUP(B88,Translate!$B$3:$E$1449,3,FALSE)</f>
        <v>Ar ôl ardystio dylech anfon y canlynol atom:</v>
      </c>
      <c r="E88" s="82" t="str">
        <f>IF(ISERROR(VLOOKUP(C88,Translate!$B$3:$E$1254,3,FALSE)),"",VLOOKUP(C88,Translate!$B$3:$E$1254,3,FALSE))</f>
        <v/>
      </c>
      <c r="F88" s="80" t="str">
        <f>IF(FrontPage!$E$7=1,D88&amp;E88,B88&amp;C88)</f>
        <v>Once certified, please send the following:</v>
      </c>
    </row>
    <row r="89" spans="2:6" ht="25.5">
      <c r="B89" s="80" t="s">
        <v>3470</v>
      </c>
      <c r="D89" s="81" t="str">
        <f>VLOOKUP(B89,Translate!$B$3:$E$1449,3,FALSE)</f>
        <v>Copi electronig o'r daenlen, yn ddelfrydol gyda delwedd o lofnod y PSC a'r dyddiad wedi'u hychwanegu.</v>
      </c>
      <c r="E89" s="82" t="str">
        <f>IF(ISERROR(VLOOKUP(C89,Translate!$B$3:$E$1254,3,FALSE)),"",VLOOKUP(C89,Translate!$B$3:$E$1254,3,FALSE))</f>
        <v/>
      </c>
      <c r="F89" s="80" t="str">
        <f>IF(FrontPage!$E$7=1,D89&amp;E89,B89&amp;C89)</f>
        <v>An electronic copy of the spreadsheet, preferably with an image of the CFO signature and date added.</v>
      </c>
    </row>
    <row r="90" spans="2:6" ht="25.5">
      <c r="B90" s="80" t="s">
        <v>3471</v>
      </c>
      <c r="D90" s="81" t="str">
        <f>VLOOKUP(B90,Translate!$B$3:$E$1449,3,FALSE)</f>
        <v>Neu gopi electronig a chopi ar wahân wedi'i lofnodi (fel PDF yn ddelfrydol, neu gopi caled trwy'r post).</v>
      </c>
      <c r="E90" s="82" t="str">
        <f>IF(ISERROR(VLOOKUP(C90,Translate!$B$3:$E$1254,3,FALSE)),"",VLOOKUP(C90,Translate!$B$3:$E$1254,3,FALSE))</f>
        <v/>
      </c>
      <c r="F90" s="80" t="str">
        <f>IF(FrontPage!$E$7=1,D90&amp;E90,B90&amp;C90)</f>
        <v>Or an electronic copy and a separate, signed copy (preferably as a PDF, or a hard copy by post).</v>
      </c>
    </row>
    <row r="91" spans="2:6" ht="25.5">
      <c r="B91" s="80" t="s">
        <v>3472</v>
      </c>
      <c r="D91" s="81" t="str">
        <f>VLOOKUP(B91,Translate!$B$3:$E$1449,3,FALSE)</f>
        <v>Noder. Rhaid i'r ffigurau ar y copi wedi'i lofnodi cyd-fynd â'r copi electronig. Bydd angen copi arall wedi'i lofnodi arnom os nad ydyn nhw.</v>
      </c>
      <c r="E91" s="82"/>
      <c r="F91" s="80" t="str">
        <f>IF(FrontPage!$E$7=1,D91&amp;E91,B91&amp;C91)</f>
        <v>N.B. The signed copy figures must match the electronic copy. We’ll need another signed copy if they don’t.</v>
      </c>
    </row>
    <row r="92" spans="2:6">
      <c r="B92" s="80" t="s">
        <v>3207</v>
      </c>
      <c r="D92" s="81" t="str">
        <f>VLOOKUP(B92,Translate!$B$3:$E$1449,3,FALSE)</f>
        <v>addasadwy</v>
      </c>
      <c r="E92" s="82" t="str">
        <f>IF(ISERROR(VLOOKUP(C92,Translate!$B$3:$E$1254,3,FALSE)),"",VLOOKUP(C92,Translate!$B$3:$E$1254,3,FALSE))</f>
        <v/>
      </c>
      <c r="F92" s="80" t="str">
        <f>IF(FrontPage!$E$7=1,D92&amp;E92,B92&amp;C92)</f>
        <v>adjustable</v>
      </c>
    </row>
    <row r="93" spans="2:6">
      <c r="B93" s="80" t="s">
        <v>3478</v>
      </c>
      <c r="D93" s="81" t="str">
        <f>VLOOKUP(B93,Translate!$B$3:$E$1449,3,FALSE)</f>
        <v xml:space="preserve">Y dyddiad hwyraf ar gyfer dychwelyd yw </v>
      </c>
      <c r="E93" s="82" t="str">
        <f>IF(ISERROR(VLOOKUP(C93,Translate!$B$3:$E$1254,3,FALSE)),"",VLOOKUP(C93,Translate!$B$3:$E$1254,3,FALSE))</f>
        <v/>
      </c>
      <c r="F93" s="80" t="str">
        <f>IF(FrontPage!$E$7=1,D93&amp;E93&amp;Details!G5,B93&amp;C93&amp;Details!G5)</f>
        <v>The latest date for return is 7 March 2024</v>
      </c>
    </row>
  </sheetData>
  <sheetProtection sheet="1" objects="1" scenarios="1"/>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tabColor rgb="FFFFCC99"/>
  </sheetPr>
  <dimension ref="A1:W1437"/>
  <sheetViews>
    <sheetView workbookViewId="0">
      <selection activeCell="Z4" sqref="Z4"/>
    </sheetView>
  </sheetViews>
  <sheetFormatPr defaultColWidth="8.88671875" defaultRowHeight="12.75"/>
  <cols>
    <col min="1" max="1" width="8.88671875" style="65"/>
    <col min="2" max="2" width="80.44140625" style="65" customWidth="1"/>
    <col min="3" max="3" width="18.109375" style="65" hidden="1" customWidth="1"/>
    <col min="4" max="4" width="74.5546875" style="65" customWidth="1"/>
    <col min="5" max="5" width="17.88671875" style="65" customWidth="1"/>
    <col min="6" max="7" width="4.109375" style="65" customWidth="1"/>
    <col min="8" max="8" width="15.77734375" style="65" customWidth="1"/>
    <col min="9" max="9" width="16.77734375" style="65" customWidth="1"/>
    <col min="10" max="12" width="4.109375" style="65" customWidth="1"/>
    <col min="13" max="13" width="26.33203125" style="65" bestFit="1" customWidth="1"/>
    <col min="14" max="14" width="17.88671875" style="65" customWidth="1"/>
    <col min="15" max="15" width="8.88671875" style="65" customWidth="1"/>
    <col min="16" max="16" width="45.21875" style="65" customWidth="1"/>
    <col min="17" max="17" width="14.77734375" style="65" customWidth="1"/>
    <col min="18" max="18" width="64.33203125" style="68" customWidth="1"/>
    <col min="19" max="19" width="2.5546875" style="65" customWidth="1"/>
    <col min="20" max="20" width="2.44140625" style="65" customWidth="1"/>
    <col min="21" max="21" width="2.21875" style="65" customWidth="1"/>
    <col min="22" max="22" width="2.77734375" style="65" customWidth="1"/>
    <col min="23" max="16384" width="8.88671875" style="65"/>
  </cols>
  <sheetData>
    <row r="1" spans="2:23">
      <c r="B1" s="64" t="s">
        <v>242</v>
      </c>
      <c r="C1" s="64"/>
      <c r="M1" s="64" t="s">
        <v>243</v>
      </c>
      <c r="N1" s="64" t="s">
        <v>244</v>
      </c>
      <c r="P1" s="64" t="s">
        <v>245</v>
      </c>
      <c r="Q1" s="64" t="s">
        <v>246</v>
      </c>
      <c r="R1" s="66" t="s">
        <v>247</v>
      </c>
    </row>
    <row r="2" spans="2:23">
      <c r="B2" s="67" t="s">
        <v>248</v>
      </c>
      <c r="C2" s="67" t="s">
        <v>249</v>
      </c>
      <c r="D2" s="67" t="s">
        <v>250</v>
      </c>
      <c r="E2" s="67" t="s">
        <v>251</v>
      </c>
      <c r="H2" s="64" t="s">
        <v>249</v>
      </c>
      <c r="I2" s="64" t="s">
        <v>251</v>
      </c>
      <c r="M2" s="65" t="str">
        <f>IF(ISERROR(FIND("=",P2)),"",RIGHT(P2,LEN(P2)-FIND("=",P2)+3))</f>
        <v/>
      </c>
      <c r="N2" s="65" t="str">
        <f>IF(ISERROR(FIND(" (include",P2)),"",RIGHT(P2,LEN(P2)-FIND(" (include",P2)))</f>
        <v/>
      </c>
      <c r="O2" s="64" t="s">
        <v>252</v>
      </c>
      <c r="P2" s="65" t="s">
        <v>253</v>
      </c>
      <c r="Q2" s="65" t="str">
        <f>IF(ISERROR(FIND(" (line",P2)),"",RIGHT(P2,LEN(P2)-FIND(" (line",P2)))</f>
        <v/>
      </c>
      <c r="R2" s="68" t="str">
        <f>LEFT(P2,LEN(P2)-LEN(Q2))</f>
        <v>Capital outturn</v>
      </c>
      <c r="W2" s="64"/>
    </row>
    <row r="3" spans="2:23">
      <c r="B3" s="168" t="s">
        <v>3166</v>
      </c>
      <c r="C3" s="69"/>
      <c r="D3" s="73" t="s">
        <v>3261</v>
      </c>
      <c r="E3" s="73"/>
      <c r="H3" s="65" t="s">
        <v>257</v>
      </c>
      <c r="I3" s="65" t="s">
        <v>258</v>
      </c>
      <c r="M3" s="65" t="str">
        <f t="shared" ref="M3:M66" si="0">IF(ISERROR(FIND("=",P3)),"",RIGHT(P3,LEN(P3)-FIND("=",P3)+3))</f>
        <v/>
      </c>
      <c r="N3" s="65" t="str">
        <f t="shared" ref="N3:N66" si="1">IF(ISERROR(FIND(" (include",P3)),"",RIGHT(P3,LEN(P3)-FIND(" (include",P3)))</f>
        <v/>
      </c>
      <c r="P3" s="65" t="s">
        <v>259</v>
      </c>
      <c r="Q3" s="65" t="str">
        <f t="shared" ref="Q3:Q66" si="2">IF(ISERROR(FIND(" (line",P3)),"",RIGHT(P3,LEN(P3)-FIND(" (line",P3)))</f>
        <v/>
      </c>
      <c r="R3" s="68" t="str">
        <f t="shared" ref="R3:R66" si="3">LEFT(P3,LEN(P3)-LEN(Q3))</f>
        <v>Please select your authority</v>
      </c>
    </row>
    <row r="4" spans="2:23">
      <c r="B4" s="168" t="s">
        <v>4</v>
      </c>
      <c r="C4" s="69"/>
      <c r="D4" s="73" t="s">
        <v>3167</v>
      </c>
      <c r="E4" s="73"/>
      <c r="H4" s="65" t="s">
        <v>263</v>
      </c>
      <c r="I4" s="65" t="s">
        <v>264</v>
      </c>
      <c r="M4" s="65" t="str">
        <f t="shared" si="0"/>
        <v/>
      </c>
      <c r="N4" s="65" t="str">
        <f t="shared" si="1"/>
        <v/>
      </c>
      <c r="P4" s="65" t="s">
        <v>13</v>
      </c>
      <c r="Q4" s="65" t="str">
        <f t="shared" si="2"/>
        <v/>
      </c>
      <c r="R4" s="68" t="str">
        <f t="shared" si="3"/>
        <v>If necessary, please amend the name and telephone number of our contact in case of queries:-</v>
      </c>
    </row>
    <row r="5" spans="2:23">
      <c r="B5" s="168" t="s">
        <v>2</v>
      </c>
      <c r="C5" s="69"/>
      <c r="D5" s="73" t="s">
        <v>3170</v>
      </c>
      <c r="E5" s="73"/>
      <c r="H5" s="65" t="s">
        <v>268</v>
      </c>
      <c r="I5" s="65" t="s">
        <v>269</v>
      </c>
      <c r="M5" s="65" t="str">
        <f t="shared" si="0"/>
        <v/>
      </c>
      <c r="N5" s="65" t="str">
        <f t="shared" si="1"/>
        <v/>
      </c>
      <c r="P5" s="65" t="s">
        <v>88</v>
      </c>
      <c r="Q5" s="65" t="str">
        <f t="shared" si="2"/>
        <v/>
      </c>
      <c r="R5" s="68" t="str">
        <f t="shared" si="3"/>
        <v xml:space="preserve">Contact name:        </v>
      </c>
    </row>
    <row r="6" spans="2:23">
      <c r="B6" s="168" t="s">
        <v>3181</v>
      </c>
      <c r="C6" s="69"/>
      <c r="D6" s="73" t="s">
        <v>3262</v>
      </c>
      <c r="E6" s="73"/>
      <c r="H6" s="65" t="s">
        <v>273</v>
      </c>
      <c r="I6" s="65" t="s">
        <v>274</v>
      </c>
      <c r="M6" s="65" t="str">
        <f t="shared" si="0"/>
        <v/>
      </c>
      <c r="N6" s="65" t="str">
        <f t="shared" si="1"/>
        <v/>
      </c>
      <c r="P6" s="65" t="s">
        <v>89</v>
      </c>
      <c r="Q6" s="65" t="str">
        <f t="shared" si="2"/>
        <v/>
      </c>
      <c r="R6" s="68" t="str">
        <f t="shared" si="3"/>
        <v xml:space="preserve">Contact E-mail:        </v>
      </c>
    </row>
    <row r="7" spans="2:23">
      <c r="B7" s="168" t="s">
        <v>3182</v>
      </c>
      <c r="C7" s="69"/>
      <c r="D7" s="73" t="s">
        <v>3263</v>
      </c>
      <c r="E7" s="73"/>
      <c r="H7" s="65" t="s">
        <v>278</v>
      </c>
      <c r="I7" s="65" t="s">
        <v>279</v>
      </c>
      <c r="M7" s="65" t="str">
        <f t="shared" si="0"/>
        <v/>
      </c>
      <c r="N7" s="65" t="str">
        <f t="shared" si="1"/>
        <v/>
      </c>
      <c r="P7" s="65" t="s">
        <v>90</v>
      </c>
      <c r="Q7" s="65" t="str">
        <f t="shared" si="2"/>
        <v/>
      </c>
      <c r="R7" s="68" t="str">
        <f t="shared" si="3"/>
        <v xml:space="preserve">Telephone:        </v>
      </c>
    </row>
    <row r="8" spans="2:23">
      <c r="B8" s="168" t="s">
        <v>3183</v>
      </c>
      <c r="C8" s="69"/>
      <c r="D8" s="73" t="s">
        <v>3184</v>
      </c>
      <c r="E8" s="73"/>
      <c r="H8" s="65" t="s">
        <v>283</v>
      </c>
      <c r="I8" s="65" t="s">
        <v>284</v>
      </c>
      <c r="M8" s="65" t="str">
        <f t="shared" si="0"/>
        <v/>
      </c>
      <c r="N8" s="65" t="str">
        <f t="shared" si="1"/>
        <v/>
      </c>
      <c r="P8" s="65" t="s">
        <v>285</v>
      </c>
      <c r="Q8" s="65" t="str">
        <f t="shared" si="2"/>
        <v/>
      </c>
      <c r="R8" s="68" t="str">
        <f t="shared" si="3"/>
        <v>The information on this form must be submitted to the Welsh Government under section 14 of the Local Government Act 2003.</v>
      </c>
    </row>
    <row r="9" spans="2:23">
      <c r="B9" s="168" t="s">
        <v>3191</v>
      </c>
      <c r="C9" s="69"/>
      <c r="D9" s="73" t="s">
        <v>3264</v>
      </c>
      <c r="E9" s="73"/>
      <c r="H9" s="65" t="s">
        <v>289</v>
      </c>
      <c r="I9" s="65" t="s">
        <v>290</v>
      </c>
      <c r="M9" s="65" t="str">
        <f t="shared" si="0"/>
        <v/>
      </c>
      <c r="N9" s="65" t="str">
        <f t="shared" si="1"/>
        <v/>
      </c>
      <c r="P9" s="65" t="s">
        <v>291</v>
      </c>
      <c r="Q9" s="65" t="str">
        <f t="shared" si="2"/>
        <v/>
      </c>
      <c r="R9" s="68" t="str">
        <f t="shared" si="3"/>
        <v>This form must be returned by 31 July 2015</v>
      </c>
    </row>
    <row r="10" spans="2:23">
      <c r="B10" s="168" t="s">
        <v>1</v>
      </c>
      <c r="C10" s="69"/>
      <c r="D10" s="73" t="s">
        <v>3265</v>
      </c>
      <c r="E10" s="73"/>
      <c r="H10" s="65" t="s">
        <v>295</v>
      </c>
      <c r="I10" s="65" t="s">
        <v>296</v>
      </c>
      <c r="M10" s="65" t="str">
        <f t="shared" si="0"/>
        <v/>
      </c>
      <c r="N10" s="65" t="str">
        <f t="shared" si="1"/>
        <v/>
      </c>
      <c r="P10" s="65" t="s">
        <v>297</v>
      </c>
      <c r="Q10" s="65" t="str">
        <f t="shared" si="2"/>
        <v/>
      </c>
      <c r="R10" s="68" t="str">
        <f t="shared" si="3"/>
        <v>Please email the spreadsheet to the address below, please note that we no longer require a signed hard-copy of this return.</v>
      </c>
    </row>
    <row r="11" spans="2:23">
      <c r="B11" s="168" t="s">
        <v>3326</v>
      </c>
      <c r="C11" s="69"/>
      <c r="D11" s="73" t="s">
        <v>3327</v>
      </c>
      <c r="E11" s="73"/>
      <c r="H11" s="65" t="s">
        <v>301</v>
      </c>
      <c r="I11" s="65" t="s">
        <v>302</v>
      </c>
      <c r="M11" s="65" t="str">
        <f t="shared" si="0"/>
        <v/>
      </c>
      <c r="N11" s="65" t="str">
        <f t="shared" si="1"/>
        <v/>
      </c>
      <c r="P11" s="65" t="s">
        <v>303</v>
      </c>
      <c r="Q11" s="65" t="str">
        <f t="shared" si="2"/>
        <v/>
      </c>
      <c r="R11" s="68" t="str">
        <f t="shared" si="3"/>
        <v>Any queries on completion of the form or spreadsheet should be directed to Frank Kelly or Anthony Newby, via telephone or e-mail, as directed below.</v>
      </c>
    </row>
    <row r="12" spans="2:23">
      <c r="B12" s="168" t="s">
        <v>3205</v>
      </c>
      <c r="C12" s="69"/>
      <c r="D12" s="76" t="s">
        <v>3206</v>
      </c>
      <c r="E12" s="73"/>
      <c r="H12" s="65" t="s">
        <v>307</v>
      </c>
      <c r="I12" s="65" t="s">
        <v>308</v>
      </c>
      <c r="M12" s="65" t="str">
        <f t="shared" si="0"/>
        <v/>
      </c>
      <c r="N12" s="65" t="str">
        <f t="shared" si="1"/>
        <v/>
      </c>
      <c r="P12" s="65" t="s">
        <v>309</v>
      </c>
      <c r="Q12" s="65" t="str">
        <f t="shared" si="2"/>
        <v/>
      </c>
      <c r="R12" s="68" t="str">
        <f t="shared" si="3"/>
        <v>It is a Welsh Government audit requirement that all cells are completed.  Please ensure that all blank cells are populated with zeros, those that are not will be assumed to be zero.</v>
      </c>
    </row>
    <row r="13" spans="2:23">
      <c r="B13" s="168" t="s">
        <v>3209</v>
      </c>
      <c r="C13" s="69"/>
      <c r="D13" s="73" t="s">
        <v>3266</v>
      </c>
      <c r="E13" s="73"/>
      <c r="H13" s="65" t="s">
        <v>313</v>
      </c>
      <c r="I13" s="65" t="s">
        <v>314</v>
      </c>
      <c r="M13" s="65" t="str">
        <f t="shared" si="0"/>
        <v/>
      </c>
      <c r="N13" s="65" t="str">
        <f t="shared" si="1"/>
        <v/>
      </c>
      <c r="P13" s="65" t="s">
        <v>315</v>
      </c>
      <c r="Q13" s="65" t="str">
        <f t="shared" si="2"/>
        <v/>
      </c>
      <c r="R13" s="68" t="str">
        <f t="shared" si="3"/>
        <v>Local Government Financial Statistics,</v>
      </c>
    </row>
    <row r="14" spans="2:23">
      <c r="B14" s="169" t="s">
        <v>72</v>
      </c>
      <c r="C14" s="69"/>
      <c r="D14" s="73" t="s">
        <v>3210</v>
      </c>
      <c r="E14" s="73"/>
      <c r="H14" s="65" t="s">
        <v>319</v>
      </c>
      <c r="I14" s="65" t="s">
        <v>320</v>
      </c>
      <c r="M14" s="65" t="str">
        <f t="shared" si="0"/>
        <v/>
      </c>
      <c r="N14" s="65" t="str">
        <f t="shared" si="1"/>
        <v/>
      </c>
      <c r="P14" s="65" t="s">
        <v>321</v>
      </c>
      <c r="Q14" s="65" t="str">
        <f t="shared" si="2"/>
        <v/>
      </c>
      <c r="R14" s="68" t="str">
        <f t="shared" si="3"/>
        <v>Knowledge and Analytical Services,</v>
      </c>
    </row>
    <row r="15" spans="2:23">
      <c r="B15" s="168" t="s">
        <v>3238</v>
      </c>
      <c r="C15" s="69"/>
      <c r="D15" s="73" t="s">
        <v>3267</v>
      </c>
      <c r="E15" s="73"/>
      <c r="H15" s="65" t="s">
        <v>325</v>
      </c>
      <c r="I15" s="65" t="s">
        <v>326</v>
      </c>
      <c r="M15" s="65" t="str">
        <f t="shared" si="0"/>
        <v/>
      </c>
      <c r="N15" s="65" t="str">
        <f t="shared" si="1"/>
        <v/>
      </c>
      <c r="P15" s="65" t="s">
        <v>327</v>
      </c>
      <c r="Q15" s="65" t="str">
        <f t="shared" si="2"/>
        <v/>
      </c>
      <c r="R15" s="68" t="str">
        <f t="shared" si="3"/>
        <v>Welsh Government,</v>
      </c>
    </row>
    <row r="16" spans="2:23">
      <c r="B16" s="168" t="s">
        <v>3241</v>
      </c>
      <c r="C16" s="69"/>
      <c r="D16" s="73" t="s">
        <v>3268</v>
      </c>
      <c r="E16" s="73"/>
      <c r="H16" s="65" t="s">
        <v>331</v>
      </c>
      <c r="I16" s="65" t="s">
        <v>332</v>
      </c>
      <c r="M16" s="65" t="str">
        <f t="shared" si="0"/>
        <v/>
      </c>
      <c r="N16" s="65" t="str">
        <f t="shared" si="1"/>
        <v/>
      </c>
      <c r="P16" s="65" t="s">
        <v>333</v>
      </c>
      <c r="Q16" s="65" t="str">
        <f t="shared" si="2"/>
        <v/>
      </c>
      <c r="R16" s="68" t="str">
        <f t="shared" si="3"/>
        <v>Cathays Park,</v>
      </c>
    </row>
    <row r="17" spans="2:18">
      <c r="B17" s="168" t="s">
        <v>3255</v>
      </c>
      <c r="C17" s="69"/>
      <c r="D17" s="165" t="s">
        <v>3269</v>
      </c>
      <c r="E17" s="165"/>
      <c r="H17" s="65" t="s">
        <v>337</v>
      </c>
      <c r="I17" s="65" t="s">
        <v>338</v>
      </c>
      <c r="M17" s="65" t="str">
        <f t="shared" si="0"/>
        <v/>
      </c>
      <c r="N17" s="65" t="str">
        <f t="shared" si="1"/>
        <v/>
      </c>
      <c r="P17" s="65" t="s">
        <v>339</v>
      </c>
      <c r="Q17" s="65" t="str">
        <f t="shared" si="2"/>
        <v/>
      </c>
      <c r="R17" s="68" t="str">
        <f t="shared" si="3"/>
        <v>CARDIFF,</v>
      </c>
    </row>
    <row r="18" spans="2:18">
      <c r="B18" s="168" t="s">
        <v>3217</v>
      </c>
      <c r="C18" s="69"/>
      <c r="D18" s="73" t="s">
        <v>3270</v>
      </c>
      <c r="E18" s="73"/>
      <c r="H18" s="65" t="s">
        <v>305</v>
      </c>
      <c r="I18" s="65" t="s">
        <v>343</v>
      </c>
      <c r="M18" s="65" t="str">
        <f t="shared" si="0"/>
        <v/>
      </c>
      <c r="N18" s="65" t="str">
        <f t="shared" si="1"/>
        <v/>
      </c>
      <c r="P18" s="65" t="s">
        <v>344</v>
      </c>
      <c r="Q18" s="65" t="str">
        <f t="shared" si="2"/>
        <v/>
      </c>
      <c r="R18" s="68" t="str">
        <f t="shared" si="3"/>
        <v>CF10 3NQ.</v>
      </c>
    </row>
    <row r="19" spans="2:18" ht="25.5">
      <c r="B19" s="168" t="s">
        <v>71</v>
      </c>
      <c r="C19" s="69"/>
      <c r="D19" s="73" t="s">
        <v>3271</v>
      </c>
      <c r="E19" s="73"/>
      <c r="H19" s="65" t="s">
        <v>335</v>
      </c>
      <c r="I19" s="65" t="s">
        <v>348</v>
      </c>
      <c r="M19" s="65" t="str">
        <f t="shared" si="0"/>
        <v/>
      </c>
      <c r="N19" s="65" t="str">
        <f t="shared" si="1"/>
        <v/>
      </c>
      <c r="P19" s="65" t="s">
        <v>349</v>
      </c>
      <c r="Q19" s="65" t="str">
        <f t="shared" si="2"/>
        <v/>
      </c>
      <c r="R19" s="68" t="str">
        <f t="shared" si="3"/>
        <v>Telephone: 029 2082 5673</v>
      </c>
    </row>
    <row r="20" spans="2:18">
      <c r="B20" s="168" t="s">
        <v>3218</v>
      </c>
      <c r="C20" s="69"/>
      <c r="D20" s="73" t="s">
        <v>3272</v>
      </c>
      <c r="E20" s="73"/>
      <c r="H20" s="65" t="s">
        <v>341</v>
      </c>
      <c r="I20" s="65" t="s">
        <v>352</v>
      </c>
      <c r="M20" s="65" t="str">
        <f t="shared" si="0"/>
        <v/>
      </c>
      <c r="N20" s="65" t="str">
        <f t="shared" si="1"/>
        <v/>
      </c>
      <c r="P20" s="65" t="s">
        <v>353</v>
      </c>
      <c r="Q20" s="65" t="str">
        <f t="shared" si="2"/>
        <v/>
      </c>
      <c r="R20" s="68" t="str">
        <f t="shared" si="3"/>
        <v>E-mail: lgfs.transfer@wales.gsi.gov.uk</v>
      </c>
    </row>
    <row r="21" spans="2:18">
      <c r="B21" s="168" t="s">
        <v>3219</v>
      </c>
      <c r="C21" s="69"/>
      <c r="D21" s="73" t="s">
        <v>3273</v>
      </c>
      <c r="E21" s="73"/>
      <c r="H21" s="65" t="s">
        <v>346</v>
      </c>
      <c r="I21" s="65" t="s">
        <v>357</v>
      </c>
      <c r="M21" s="65" t="str">
        <f t="shared" si="0"/>
        <v/>
      </c>
      <c r="N21" s="65" t="str">
        <f t="shared" si="1"/>
        <v/>
      </c>
      <c r="O21" s="64"/>
      <c r="Q21" s="65" t="str">
        <f t="shared" si="2"/>
        <v/>
      </c>
      <c r="R21" s="68" t="str">
        <f t="shared" si="3"/>
        <v/>
      </c>
    </row>
    <row r="22" spans="2:18">
      <c r="B22" s="168" t="s">
        <v>53</v>
      </c>
      <c r="C22" s="69"/>
      <c r="D22" s="73" t="s">
        <v>3274</v>
      </c>
      <c r="E22" s="73"/>
      <c r="H22" s="65" t="s">
        <v>355</v>
      </c>
      <c r="I22" s="65" t="s">
        <v>361</v>
      </c>
      <c r="M22" s="65" t="str">
        <f t="shared" si="0"/>
        <v/>
      </c>
      <c r="N22" s="65" t="str">
        <f t="shared" si="1"/>
        <v/>
      </c>
      <c r="O22" s="64" t="s">
        <v>362</v>
      </c>
      <c r="P22" s="65" t="s">
        <v>363</v>
      </c>
      <c r="Q22" s="65" t="str">
        <f t="shared" si="2"/>
        <v/>
      </c>
      <c r="R22" s="68" t="str">
        <f t="shared" si="3"/>
        <v>Please select your authority on FrontPage</v>
      </c>
    </row>
    <row r="23" spans="2:18">
      <c r="B23" s="168" t="s">
        <v>31</v>
      </c>
      <c r="C23" s="69"/>
      <c r="D23" s="73" t="s">
        <v>3329</v>
      </c>
      <c r="E23" s="73"/>
      <c r="H23" s="65" t="s">
        <v>359</v>
      </c>
      <c r="I23" s="65" t="s">
        <v>367</v>
      </c>
      <c r="M23" s="65" t="str">
        <f t="shared" si="0"/>
        <v/>
      </c>
      <c r="N23" s="65" t="str">
        <f t="shared" si="1"/>
        <v/>
      </c>
      <c r="P23" s="65" t="s">
        <v>368</v>
      </c>
      <c r="Q23" s="65" t="str">
        <f t="shared" si="2"/>
        <v/>
      </c>
      <c r="R23" s="68" t="str">
        <f t="shared" si="3"/>
        <v>COR1-2:       Capital outturn 1 and 2</v>
      </c>
    </row>
    <row r="24" spans="2:18">
      <c r="B24" s="168" t="s">
        <v>48</v>
      </c>
      <c r="C24" s="69"/>
      <c r="D24" s="73" t="s">
        <v>3275</v>
      </c>
      <c r="E24" s="73"/>
      <c r="H24" s="65" t="s">
        <v>365</v>
      </c>
      <c r="I24" s="65" t="s">
        <v>372</v>
      </c>
      <c r="M24" s="65" t="str">
        <f t="shared" si="0"/>
        <v/>
      </c>
      <c r="N24" s="65" t="str">
        <f t="shared" si="1"/>
        <v/>
      </c>
      <c r="O24" s="65">
        <v>1.1000000000000001</v>
      </c>
      <c r="P24" s="65" t="s">
        <v>373</v>
      </c>
      <c r="Q24" s="65" t="str">
        <f t="shared" si="2"/>
        <v/>
      </c>
      <c r="R24" s="68" t="str">
        <f t="shared" si="3"/>
        <v>Pre-primary education</v>
      </c>
    </row>
    <row r="25" spans="2:18">
      <c r="B25" s="168" t="s">
        <v>3239</v>
      </c>
      <c r="C25" s="69"/>
      <c r="D25" s="73" t="s">
        <v>3330</v>
      </c>
      <c r="E25" s="73"/>
      <c r="H25" s="65" t="s">
        <v>370</v>
      </c>
      <c r="I25" s="65" t="s">
        <v>376</v>
      </c>
      <c r="M25" s="65" t="str">
        <f t="shared" si="0"/>
        <v/>
      </c>
      <c r="N25" s="65" t="str">
        <f t="shared" si="1"/>
        <v/>
      </c>
      <c r="O25" s="65">
        <v>1.2</v>
      </c>
      <c r="P25" s="65" t="s">
        <v>377</v>
      </c>
      <c r="Q25" s="65" t="str">
        <f t="shared" si="2"/>
        <v/>
      </c>
      <c r="R25" s="68" t="str">
        <f t="shared" si="3"/>
        <v>Primary education</v>
      </c>
    </row>
    <row r="26" spans="2:18">
      <c r="B26" s="168" t="s">
        <v>54</v>
      </c>
      <c r="C26" s="69"/>
      <c r="D26" s="73" t="s">
        <v>3276</v>
      </c>
      <c r="E26" s="73"/>
      <c r="H26" s="65" t="s">
        <v>379</v>
      </c>
      <c r="I26" s="65" t="s">
        <v>381</v>
      </c>
      <c r="M26" s="65" t="str">
        <f t="shared" si="0"/>
        <v/>
      </c>
      <c r="N26" s="65" t="str">
        <f t="shared" si="1"/>
        <v/>
      </c>
      <c r="O26" s="65">
        <v>2</v>
      </c>
      <c r="P26" s="65" t="s">
        <v>382</v>
      </c>
      <c r="Q26" s="65" t="str">
        <f t="shared" si="2"/>
        <v/>
      </c>
      <c r="R26" s="68" t="str">
        <f t="shared" si="3"/>
        <v>Secondary education</v>
      </c>
    </row>
    <row r="27" spans="2:18" ht="25.5">
      <c r="B27" s="168" t="s">
        <v>57</v>
      </c>
      <c r="C27" s="69"/>
      <c r="D27" s="73" t="s">
        <v>3277</v>
      </c>
      <c r="E27" s="73"/>
      <c r="H27" s="65" t="s">
        <v>281</v>
      </c>
      <c r="I27" s="65" t="s">
        <v>386</v>
      </c>
      <c r="M27" s="65" t="str">
        <f t="shared" si="0"/>
        <v/>
      </c>
      <c r="N27" s="65" t="str">
        <f t="shared" si="1"/>
        <v/>
      </c>
      <c r="O27" s="65">
        <v>3</v>
      </c>
      <c r="P27" s="65" t="s">
        <v>387</v>
      </c>
      <c r="Q27" s="65" t="str">
        <f t="shared" si="2"/>
        <v/>
      </c>
      <c r="R27" s="68" t="str">
        <f t="shared" si="3"/>
        <v>Special education</v>
      </c>
    </row>
    <row r="28" spans="2:18">
      <c r="B28" s="168" t="s">
        <v>107</v>
      </c>
      <c r="C28" s="69"/>
      <c r="D28" s="73" t="s">
        <v>3278</v>
      </c>
      <c r="E28" s="73"/>
      <c r="H28" s="65" t="s">
        <v>287</v>
      </c>
      <c r="I28" s="65" t="s">
        <v>390</v>
      </c>
      <c r="M28" s="65" t="str">
        <f t="shared" si="0"/>
        <v/>
      </c>
      <c r="N28" s="65" t="str">
        <f t="shared" si="1"/>
        <v/>
      </c>
      <c r="O28" s="65">
        <v>4</v>
      </c>
      <c r="P28" s="65" t="s">
        <v>391</v>
      </c>
      <c r="Q28" s="65" t="str">
        <f t="shared" si="2"/>
        <v/>
      </c>
      <c r="R28" s="68" t="str">
        <f t="shared" si="3"/>
        <v>Youth service</v>
      </c>
    </row>
    <row r="29" spans="2:18">
      <c r="B29" s="168" t="s">
        <v>3237</v>
      </c>
      <c r="C29" s="69"/>
      <c r="D29" s="73" t="s">
        <v>3279</v>
      </c>
      <c r="E29" s="73"/>
      <c r="H29" s="65" t="s">
        <v>261</v>
      </c>
      <c r="I29" s="65" t="s">
        <v>394</v>
      </c>
      <c r="M29" s="65" t="str">
        <f t="shared" si="0"/>
        <v/>
      </c>
      <c r="N29" s="65" t="str">
        <f t="shared" si="1"/>
        <v/>
      </c>
      <c r="O29" s="65">
        <v>5</v>
      </c>
      <c r="P29" s="65" t="s">
        <v>395</v>
      </c>
      <c r="Q29" s="65" t="str">
        <f t="shared" si="2"/>
        <v/>
      </c>
      <c r="R29" s="68" t="str">
        <f t="shared" si="3"/>
        <v>Other education services and continuing education</v>
      </c>
    </row>
    <row r="30" spans="2:18">
      <c r="B30" s="168" t="s">
        <v>66</v>
      </c>
      <c r="C30" s="69"/>
      <c r="D30" s="73" t="s">
        <v>3280</v>
      </c>
      <c r="E30" s="73"/>
      <c r="H30" s="65" t="s">
        <v>255</v>
      </c>
      <c r="I30" s="65" t="s">
        <v>398</v>
      </c>
      <c r="M30" s="65" t="str">
        <f t="shared" si="0"/>
        <v/>
      </c>
      <c r="N30" s="65" t="str">
        <f t="shared" si="1"/>
        <v/>
      </c>
      <c r="O30" s="65">
        <v>6</v>
      </c>
      <c r="P30" s="65" t="s">
        <v>399</v>
      </c>
      <c r="Q30" s="65" t="str">
        <f t="shared" si="2"/>
        <v>(lines 1.1 to 5)</v>
      </c>
      <c r="R30" s="68" t="str">
        <f t="shared" si="3"/>
        <v xml:space="preserve">cyfanswm education </v>
      </c>
    </row>
    <row r="31" spans="2:18">
      <c r="B31" s="168" t="s">
        <v>3240</v>
      </c>
      <c r="C31" s="69"/>
      <c r="D31" s="73" t="s">
        <v>3281</v>
      </c>
      <c r="E31" s="73"/>
      <c r="H31" s="65" t="s">
        <v>276</v>
      </c>
      <c r="I31" s="65" t="s">
        <v>403</v>
      </c>
      <c r="M31" s="65" t="str">
        <f t="shared" si="0"/>
        <v/>
      </c>
      <c r="N31" s="65" t="str">
        <f t="shared" si="1"/>
        <v/>
      </c>
      <c r="O31" s="65">
        <v>7</v>
      </c>
      <c r="P31" s="65" t="s">
        <v>374</v>
      </c>
      <c r="Q31" s="65" t="str">
        <f t="shared" si="2"/>
        <v/>
      </c>
      <c r="R31" s="68" t="str">
        <f t="shared" si="3"/>
        <v>Social services</v>
      </c>
    </row>
    <row r="32" spans="2:18">
      <c r="B32" s="168" t="s">
        <v>3242</v>
      </c>
      <c r="C32" s="69"/>
      <c r="D32" s="73" t="s">
        <v>1587</v>
      </c>
      <c r="E32" s="73"/>
      <c r="H32" s="65" t="s">
        <v>406</v>
      </c>
      <c r="I32" s="65" t="s">
        <v>407</v>
      </c>
      <c r="M32" s="65" t="str">
        <f t="shared" si="0"/>
        <v/>
      </c>
      <c r="N32" s="65" t="str">
        <f t="shared" si="1"/>
        <v/>
      </c>
      <c r="O32" s="65">
        <v>8.1</v>
      </c>
      <c r="P32" s="65" t="s">
        <v>408</v>
      </c>
      <c r="Q32" s="65" t="str">
        <f t="shared" si="2"/>
        <v/>
      </c>
      <c r="R32" s="68" t="str">
        <f t="shared" si="3"/>
        <v>New construction/improvement of roads</v>
      </c>
    </row>
    <row r="33" spans="2:18">
      <c r="B33" s="170" t="s">
        <v>824</v>
      </c>
      <c r="C33" s="73"/>
      <c r="D33" s="73" t="s">
        <v>825</v>
      </c>
      <c r="E33" s="73"/>
      <c r="H33" s="65" t="s">
        <v>411</v>
      </c>
      <c r="I33" s="65" t="s">
        <v>412</v>
      </c>
      <c r="M33" s="65" t="str">
        <f t="shared" si="0"/>
        <v/>
      </c>
      <c r="N33" s="65" t="str">
        <f t="shared" si="1"/>
        <v/>
      </c>
      <c r="O33" s="65">
        <v>8.1999999999999993</v>
      </c>
      <c r="P33" s="65" t="s">
        <v>413</v>
      </c>
      <c r="Q33" s="65" t="str">
        <f t="shared" si="2"/>
        <v/>
      </c>
      <c r="R33" s="68" t="str">
        <f t="shared" si="3"/>
        <v>Structural maintenance - principal roads</v>
      </c>
    </row>
    <row r="34" spans="2:18">
      <c r="B34" s="170" t="s">
        <v>1089</v>
      </c>
      <c r="C34" s="73"/>
      <c r="D34" s="73" t="s">
        <v>1090</v>
      </c>
      <c r="E34" s="73"/>
      <c r="H34" s="65" t="s">
        <v>416</v>
      </c>
      <c r="I34" s="65" t="s">
        <v>417</v>
      </c>
      <c r="M34" s="65" t="str">
        <f t="shared" si="0"/>
        <v/>
      </c>
      <c r="N34" s="65" t="str">
        <f t="shared" si="1"/>
        <v/>
      </c>
      <c r="O34" s="65">
        <v>8.3000000000000007</v>
      </c>
      <c r="P34" s="65" t="s">
        <v>418</v>
      </c>
      <c r="Q34" s="65" t="str">
        <f t="shared" si="2"/>
        <v/>
      </c>
      <c r="R34" s="68" t="str">
        <f t="shared" si="3"/>
        <v>Structural maintenance - other LA roads</v>
      </c>
    </row>
    <row r="35" spans="2:18">
      <c r="B35" s="170" t="s">
        <v>1107</v>
      </c>
      <c r="C35" s="73"/>
      <c r="D35" s="73" t="s">
        <v>1108</v>
      </c>
      <c r="E35" s="73"/>
      <c r="H35" s="65" t="s">
        <v>311</v>
      </c>
      <c r="I35" s="65" t="s">
        <v>421</v>
      </c>
      <c r="M35" s="65" t="str">
        <f t="shared" si="0"/>
        <v/>
      </c>
      <c r="N35" s="65" t="str">
        <f t="shared" si="1"/>
        <v/>
      </c>
      <c r="O35" s="65">
        <v>8.4</v>
      </c>
      <c r="P35" s="65" t="s">
        <v>422</v>
      </c>
      <c r="Q35" s="65" t="str">
        <f t="shared" si="2"/>
        <v/>
      </c>
      <c r="R35" s="68" t="str">
        <f t="shared" si="3"/>
        <v>Expenditure on bridges</v>
      </c>
    </row>
    <row r="36" spans="2:18">
      <c r="B36" s="170" t="s">
        <v>1159</v>
      </c>
      <c r="C36" s="73"/>
      <c r="D36" s="73" t="s">
        <v>1160</v>
      </c>
      <c r="E36" s="73"/>
      <c r="H36" s="65" t="s">
        <v>323</v>
      </c>
      <c r="I36" s="65" t="s">
        <v>425</v>
      </c>
      <c r="M36" s="65" t="str">
        <f t="shared" si="0"/>
        <v/>
      </c>
      <c r="N36" s="65" t="str">
        <f t="shared" si="1"/>
        <v/>
      </c>
      <c r="O36" s="65">
        <v>8.5</v>
      </c>
      <c r="P36" s="65" t="s">
        <v>426</v>
      </c>
      <c r="Q36" s="65" t="str">
        <f t="shared" si="2"/>
        <v/>
      </c>
      <c r="R36" s="68" t="str">
        <f t="shared" si="3"/>
        <v>Road safety</v>
      </c>
    </row>
    <row r="37" spans="2:18">
      <c r="B37" s="170" t="s">
        <v>1342</v>
      </c>
      <c r="C37" s="73"/>
      <c r="D37" s="73" t="s">
        <v>1343</v>
      </c>
      <c r="E37" s="73"/>
      <c r="H37" s="65" t="s">
        <v>317</v>
      </c>
      <c r="I37" s="65" t="s">
        <v>429</v>
      </c>
      <c r="M37" s="65" t="str">
        <f t="shared" si="0"/>
        <v/>
      </c>
      <c r="N37" s="65" t="str">
        <f t="shared" si="1"/>
        <v/>
      </c>
      <c r="O37" s="65">
        <v>8.6</v>
      </c>
      <c r="P37" s="65" t="s">
        <v>430</v>
      </c>
      <c r="Q37" s="65" t="str">
        <f t="shared" si="2"/>
        <v/>
      </c>
      <c r="R37" s="68" t="str">
        <f t="shared" si="3"/>
        <v>Street lighting</v>
      </c>
    </row>
    <row r="38" spans="2:18">
      <c r="B38" s="170" t="s">
        <v>1293</v>
      </c>
      <c r="C38" s="69"/>
      <c r="D38" s="70" t="s">
        <v>1433</v>
      </c>
      <c r="E38" s="73"/>
      <c r="H38" s="65" t="s">
        <v>266</v>
      </c>
      <c r="I38" s="65" t="s">
        <v>433</v>
      </c>
      <c r="M38" s="65" t="str">
        <f t="shared" si="0"/>
        <v/>
      </c>
      <c r="N38" s="65" t="str">
        <f t="shared" si="1"/>
        <v/>
      </c>
      <c r="O38" s="65">
        <v>8.6999999999999993</v>
      </c>
      <c r="P38" s="65" t="s">
        <v>434</v>
      </c>
      <c r="Q38" s="65" t="str">
        <f t="shared" si="2"/>
        <v/>
      </c>
      <c r="R38" s="68" t="str">
        <f t="shared" si="3"/>
        <v>Other</v>
      </c>
    </row>
    <row r="39" spans="2:18">
      <c r="B39" s="170" t="s">
        <v>105</v>
      </c>
      <c r="C39" s="69"/>
      <c r="D39" s="70" t="s">
        <v>1566</v>
      </c>
      <c r="E39" s="73"/>
      <c r="H39" s="65" t="s">
        <v>271</v>
      </c>
      <c r="I39" s="65" t="s">
        <v>437</v>
      </c>
      <c r="M39" s="65" t="str">
        <f t="shared" si="0"/>
        <v/>
      </c>
      <c r="N39" s="65" t="str">
        <f t="shared" si="1"/>
        <v/>
      </c>
      <c r="O39" s="65">
        <v>8</v>
      </c>
      <c r="P39" s="65" t="s">
        <v>438</v>
      </c>
      <c r="Q39" s="65" t="str">
        <f t="shared" si="2"/>
        <v/>
      </c>
      <c r="R39" s="68" t="str">
        <f t="shared" si="3"/>
        <v xml:space="preserve">cyfanswm roads new construction and maintenance, street lighting and road safety (cyfanswm lines 8.1 to 8.7) </v>
      </c>
    </row>
    <row r="40" spans="2:18">
      <c r="B40" s="170" t="s">
        <v>91</v>
      </c>
      <c r="C40" s="69"/>
      <c r="D40" s="70" t="s">
        <v>1567</v>
      </c>
      <c r="E40" s="73"/>
      <c r="H40" s="65" t="s">
        <v>401</v>
      </c>
      <c r="I40" s="65" t="s">
        <v>441</v>
      </c>
      <c r="M40" s="65" t="str">
        <f t="shared" si="0"/>
        <v/>
      </c>
      <c r="N40" s="65" t="str">
        <f t="shared" si="1"/>
        <v/>
      </c>
      <c r="O40" s="65">
        <v>9</v>
      </c>
      <c r="P40" s="65" t="s">
        <v>442</v>
      </c>
      <c r="Q40" s="65" t="str">
        <f t="shared" si="2"/>
        <v/>
      </c>
      <c r="R40" s="68" t="str">
        <f t="shared" si="3"/>
        <v>Parking of vehicles (including car parks)</v>
      </c>
    </row>
    <row r="41" spans="2:18" ht="25.5">
      <c r="B41" s="170" t="s">
        <v>309</v>
      </c>
      <c r="C41" s="69"/>
      <c r="D41" s="70" t="s">
        <v>1579</v>
      </c>
      <c r="E41" s="73"/>
      <c r="H41" s="65" t="s">
        <v>445</v>
      </c>
      <c r="I41" s="65" t="s">
        <v>446</v>
      </c>
      <c r="M41" s="65" t="str">
        <f t="shared" si="0"/>
        <v/>
      </c>
      <c r="N41" s="65" t="str">
        <f t="shared" si="1"/>
        <v/>
      </c>
      <c r="O41" s="65">
        <v>10</v>
      </c>
      <c r="P41" s="65" t="s">
        <v>447</v>
      </c>
      <c r="Q41" s="65" t="str">
        <f t="shared" si="2"/>
        <v/>
      </c>
      <c r="R41" s="68" t="str">
        <f t="shared" si="3"/>
        <v>Public passenger transport - bus</v>
      </c>
    </row>
    <row r="42" spans="2:18">
      <c r="B42" s="170" t="s">
        <v>327</v>
      </c>
      <c r="C42" s="69"/>
      <c r="D42" s="70" t="s">
        <v>1582</v>
      </c>
      <c r="E42" s="73"/>
      <c r="H42" s="65" t="s">
        <v>299</v>
      </c>
      <c r="I42" s="65" t="s">
        <v>450</v>
      </c>
      <c r="M42" s="65" t="str">
        <f t="shared" si="0"/>
        <v/>
      </c>
      <c r="N42" s="65" t="str">
        <f t="shared" si="1"/>
        <v/>
      </c>
      <c r="O42" s="65">
        <v>11</v>
      </c>
      <c r="P42" s="65" t="s">
        <v>451</v>
      </c>
      <c r="Q42" s="65" t="str">
        <f t="shared" si="2"/>
        <v/>
      </c>
      <c r="R42" s="68" t="str">
        <f t="shared" si="3"/>
        <v>Public passenger transport - rail, underground and other</v>
      </c>
    </row>
    <row r="43" spans="2:18">
      <c r="B43" s="170" t="s">
        <v>333</v>
      </c>
      <c r="C43" s="69"/>
      <c r="D43" s="70" t="s">
        <v>1583</v>
      </c>
      <c r="E43" s="73"/>
      <c r="H43" s="65" t="s">
        <v>454</v>
      </c>
      <c r="I43" s="65" t="s">
        <v>455</v>
      </c>
      <c r="M43" s="65" t="str">
        <f t="shared" si="0"/>
        <v/>
      </c>
      <c r="N43" s="65" t="str">
        <f t="shared" si="1"/>
        <v/>
      </c>
      <c r="O43" s="65">
        <v>12</v>
      </c>
      <c r="P43" s="65" t="s">
        <v>456</v>
      </c>
      <c r="Q43" s="65" t="str">
        <f t="shared" si="2"/>
        <v/>
      </c>
      <c r="R43" s="68" t="str">
        <f t="shared" si="3"/>
        <v>Tolled road bridges, tunnels and ferries and public transport companies</v>
      </c>
    </row>
    <row r="44" spans="2:18">
      <c r="B44" s="170" t="s">
        <v>339</v>
      </c>
      <c r="C44" s="69"/>
      <c r="D44" s="70" t="s">
        <v>1584</v>
      </c>
      <c r="E44" s="73"/>
      <c r="H44" s="65" t="s">
        <v>329</v>
      </c>
      <c r="I44" s="65" t="s">
        <v>459</v>
      </c>
      <c r="M44" s="65" t="str">
        <f t="shared" si="0"/>
        <v/>
      </c>
      <c r="N44" s="65" t="str">
        <f t="shared" si="1"/>
        <v/>
      </c>
      <c r="O44" s="65">
        <v>13</v>
      </c>
      <c r="P44" s="65" t="s">
        <v>460</v>
      </c>
      <c r="Q44" s="65" t="str">
        <f t="shared" si="2"/>
        <v/>
      </c>
      <c r="R44" s="68" t="str">
        <f t="shared" si="3"/>
        <v>Local authority ports and piers</v>
      </c>
    </row>
    <row r="45" spans="2:18">
      <c r="B45" s="170" t="s">
        <v>344</v>
      </c>
      <c r="C45" s="69"/>
      <c r="D45" s="70" t="s">
        <v>113</v>
      </c>
      <c r="E45" s="73"/>
      <c r="H45" s="65" t="s">
        <v>464</v>
      </c>
      <c r="I45" s="65" t="s">
        <v>465</v>
      </c>
      <c r="M45" s="65" t="str">
        <f t="shared" si="0"/>
        <v/>
      </c>
      <c r="N45" s="65" t="str">
        <f t="shared" si="1"/>
        <v/>
      </c>
      <c r="O45" s="65">
        <v>14</v>
      </c>
      <c r="P45" s="65" t="s">
        <v>466</v>
      </c>
      <c r="Q45" s="65" t="str">
        <f t="shared" si="2"/>
        <v/>
      </c>
      <c r="R45" s="68" t="str">
        <f t="shared" si="3"/>
        <v>Airports</v>
      </c>
    </row>
    <row r="46" spans="2:18">
      <c r="B46" s="170" t="s">
        <v>226</v>
      </c>
      <c r="C46" s="69"/>
      <c r="D46" s="70" t="s">
        <v>1844</v>
      </c>
      <c r="E46" s="73"/>
      <c r="H46" s="65" t="s">
        <v>470</v>
      </c>
      <c r="I46" s="65" t="s">
        <v>471</v>
      </c>
      <c r="M46" s="65" t="str">
        <f t="shared" si="0"/>
        <v/>
      </c>
      <c r="N46" s="65" t="str">
        <f t="shared" si="1"/>
        <v/>
      </c>
      <c r="O46" s="65">
        <v>15</v>
      </c>
      <c r="P46" s="65" t="s">
        <v>472</v>
      </c>
      <c r="Q46" s="65" t="str">
        <f t="shared" si="2"/>
        <v>(lines 8 to 14)</v>
      </c>
      <c r="R46" s="68" t="str">
        <f t="shared" si="3"/>
        <v xml:space="preserve">cyfanswm transport </v>
      </c>
    </row>
    <row r="47" spans="2:18">
      <c r="B47" s="170" t="s">
        <v>1283</v>
      </c>
      <c r="C47" s="72"/>
      <c r="D47" s="70" t="s">
        <v>1873</v>
      </c>
      <c r="E47" s="73"/>
      <c r="H47" s="65" t="s">
        <v>475</v>
      </c>
      <c r="I47" s="65" t="s">
        <v>476</v>
      </c>
      <c r="M47" s="65" t="str">
        <f t="shared" si="0"/>
        <v/>
      </c>
      <c r="N47" s="65" t="str">
        <f t="shared" si="1"/>
        <v/>
      </c>
      <c r="O47" s="65">
        <v>16</v>
      </c>
      <c r="P47" s="65" t="s">
        <v>477</v>
      </c>
      <c r="Q47" s="65" t="str">
        <f t="shared" si="2"/>
        <v/>
      </c>
      <c r="R47" s="68" t="str">
        <f t="shared" si="3"/>
        <v>Acquisition / sale of land for housing revenue account (HRA)</v>
      </c>
    </row>
    <row r="48" spans="2:18">
      <c r="B48" s="170" t="s">
        <v>1286</v>
      </c>
      <c r="C48" s="69"/>
      <c r="D48" s="70" t="s">
        <v>1943</v>
      </c>
      <c r="E48" s="73"/>
      <c r="H48" s="65" t="s">
        <v>293</v>
      </c>
      <c r="I48" s="65" t="s">
        <v>480</v>
      </c>
      <c r="M48" s="65" t="str">
        <f t="shared" si="0"/>
        <v/>
      </c>
      <c r="N48" s="65" t="str">
        <f t="shared" si="1"/>
        <v/>
      </c>
      <c r="O48" s="65">
        <v>17</v>
      </c>
      <c r="P48" s="65" t="s">
        <v>481</v>
      </c>
      <c r="Q48" s="65" t="str">
        <f t="shared" si="2"/>
        <v/>
      </c>
      <c r="R48" s="68" t="str">
        <f t="shared" si="3"/>
        <v>New building of HRA dwellings</v>
      </c>
    </row>
    <row r="49" spans="2:18">
      <c r="B49" s="170" t="s">
        <v>52</v>
      </c>
      <c r="C49" s="69"/>
      <c r="D49" s="70" t="s">
        <v>1432</v>
      </c>
      <c r="E49" s="73"/>
      <c r="H49" s="65" t="s">
        <v>482</v>
      </c>
      <c r="I49" s="65" t="s">
        <v>483</v>
      </c>
      <c r="M49" s="65" t="str">
        <f t="shared" si="0"/>
        <v/>
      </c>
      <c r="N49" s="65" t="str">
        <f t="shared" si="1"/>
        <v/>
      </c>
      <c r="O49" s="65">
        <v>18</v>
      </c>
      <c r="P49" s="65" t="s">
        <v>484</v>
      </c>
      <c r="Q49" s="65" t="str">
        <f t="shared" si="2"/>
        <v/>
      </c>
      <c r="R49" s="68" t="str">
        <f t="shared" si="3"/>
        <v>Purchase / sale of HRA dwellings</v>
      </c>
    </row>
    <row r="50" spans="2:18">
      <c r="B50" s="170" t="s">
        <v>93</v>
      </c>
      <c r="C50" s="69"/>
      <c r="D50" s="70" t="s">
        <v>2205</v>
      </c>
      <c r="E50" s="73"/>
      <c r="H50" s="65" t="s">
        <v>487</v>
      </c>
      <c r="I50" s="65" t="s">
        <v>488</v>
      </c>
      <c r="M50" s="65" t="str">
        <f t="shared" si="0"/>
        <v/>
      </c>
      <c r="N50" s="65" t="str">
        <f t="shared" si="1"/>
        <v/>
      </c>
      <c r="O50" s="65">
        <v>19.100000000000001</v>
      </c>
      <c r="P50" s="65" t="s">
        <v>489</v>
      </c>
      <c r="Q50" s="65" t="str">
        <f t="shared" si="2"/>
        <v/>
      </c>
      <c r="R50" s="68" t="str">
        <f t="shared" si="3"/>
        <v>Premature full repayment of principal on mortgages / loans provided for council house purchase</v>
      </c>
    </row>
    <row r="51" spans="2:18">
      <c r="B51" s="170" t="s">
        <v>97</v>
      </c>
      <c r="C51" s="69"/>
      <c r="D51" s="70" t="s">
        <v>2208</v>
      </c>
      <c r="E51" s="73"/>
      <c r="H51" s="65" t="s">
        <v>490</v>
      </c>
      <c r="I51" s="65" t="s">
        <v>491</v>
      </c>
      <c r="M51" s="65" t="str">
        <f t="shared" si="0"/>
        <v/>
      </c>
      <c r="N51" s="65" t="str">
        <f t="shared" si="1"/>
        <v/>
      </c>
      <c r="O51" s="65">
        <v>19.2</v>
      </c>
      <c r="P51" s="65" t="s">
        <v>492</v>
      </c>
      <c r="Q51" s="65" t="str">
        <f t="shared" si="2"/>
        <v/>
      </c>
      <c r="R51" s="68" t="str">
        <f t="shared" si="3"/>
        <v>Mortgages / loans provided for council house purchase</v>
      </c>
    </row>
    <row r="52" spans="2:18">
      <c r="B52" s="170" t="s">
        <v>92</v>
      </c>
      <c r="C52" s="69"/>
      <c r="D52" s="70" t="s">
        <v>2211</v>
      </c>
      <c r="E52" s="73"/>
      <c r="H52" s="65" t="s">
        <v>468</v>
      </c>
      <c r="I52" s="65" t="s">
        <v>495</v>
      </c>
      <c r="M52" s="65" t="str">
        <f t="shared" si="0"/>
        <v/>
      </c>
      <c r="N52" s="65" t="str">
        <f t="shared" si="1"/>
        <v/>
      </c>
      <c r="O52" s="65">
        <v>20</v>
      </c>
      <c r="P52" s="65" t="s">
        <v>496</v>
      </c>
      <c r="Q52" s="65" t="str">
        <f t="shared" si="2"/>
        <v/>
      </c>
      <c r="R52" s="68" t="str">
        <f t="shared" si="3"/>
        <v>Improvements and repairs to HRA PRCs</v>
      </c>
    </row>
    <row r="53" spans="2:18">
      <c r="B53" s="170" t="s">
        <v>2230</v>
      </c>
      <c r="C53" s="69"/>
      <c r="D53" s="70" t="s">
        <v>2231</v>
      </c>
      <c r="E53" s="73"/>
      <c r="H53" s="65" t="s">
        <v>462</v>
      </c>
      <c r="I53" s="65" t="s">
        <v>499</v>
      </c>
      <c r="M53" s="65" t="str">
        <f t="shared" si="0"/>
        <v/>
      </c>
      <c r="N53" s="65" t="str">
        <f t="shared" si="1"/>
        <v/>
      </c>
      <c r="O53" s="65">
        <v>21</v>
      </c>
      <c r="P53" s="65" t="s">
        <v>500</v>
      </c>
      <c r="Q53" s="65" t="str">
        <f t="shared" si="2"/>
        <v/>
      </c>
      <c r="R53" s="68" t="str">
        <f t="shared" si="3"/>
        <v>Improvements and repairs to other HRA dwellings</v>
      </c>
    </row>
    <row r="54" spans="2:18">
      <c r="B54" s="170" t="s">
        <v>99</v>
      </c>
      <c r="C54" s="69"/>
      <c r="D54" s="70" t="s">
        <v>2540</v>
      </c>
      <c r="E54" s="73"/>
      <c r="H54" s="65" t="s">
        <v>384</v>
      </c>
      <c r="I54" s="65" t="s">
        <v>504</v>
      </c>
      <c r="M54" s="65" t="str">
        <f t="shared" si="0"/>
        <v/>
      </c>
      <c r="N54" s="65" t="str">
        <f t="shared" si="1"/>
        <v/>
      </c>
      <c r="O54" s="65">
        <v>22</v>
      </c>
      <c r="P54" s="65" t="s">
        <v>505</v>
      </c>
      <c r="Q54" s="65" t="str">
        <f t="shared" si="2"/>
        <v/>
      </c>
      <c r="R54" s="68" t="str">
        <f t="shared" si="3"/>
        <v>Low cost home ownership (HRA)</v>
      </c>
    </row>
    <row r="55" spans="2:18">
      <c r="B55" s="170" t="s">
        <v>106</v>
      </c>
      <c r="C55" s="72"/>
      <c r="D55" s="70" t="s">
        <v>2541</v>
      </c>
      <c r="E55" s="73"/>
      <c r="H55" s="65" t="s">
        <v>508</v>
      </c>
      <c r="I55" s="65" t="s">
        <v>509</v>
      </c>
      <c r="M55" s="65" t="str">
        <f t="shared" si="0"/>
        <v/>
      </c>
      <c r="N55" s="65" t="str">
        <f t="shared" si="1"/>
        <v/>
      </c>
      <c r="O55" s="65">
        <v>23</v>
      </c>
      <c r="P55" s="65" t="s">
        <v>510</v>
      </c>
      <c r="Q55" s="65" t="str">
        <f t="shared" si="2"/>
        <v/>
      </c>
      <c r="R55" s="68" t="str">
        <f t="shared" si="3"/>
        <v>Other HRA</v>
      </c>
    </row>
    <row r="56" spans="2:18">
      <c r="B56" s="170" t="s">
        <v>98</v>
      </c>
      <c r="C56" s="69"/>
      <c r="D56" s="70" t="s">
        <v>2574</v>
      </c>
      <c r="E56" s="73"/>
      <c r="H56" s="65" t="s">
        <v>513</v>
      </c>
      <c r="I56" s="65" t="s">
        <v>514</v>
      </c>
      <c r="M56" s="65" t="str">
        <f t="shared" si="0"/>
        <v/>
      </c>
      <c r="N56" s="65" t="str">
        <f t="shared" si="1"/>
        <v/>
      </c>
      <c r="O56" s="65">
        <v>24</v>
      </c>
      <c r="P56" s="65" t="s">
        <v>515</v>
      </c>
      <c r="Q56" s="65" t="str">
        <f t="shared" si="2"/>
        <v>(lines 16 to 23)</v>
      </c>
      <c r="R56" s="68" t="str">
        <f t="shared" si="3"/>
        <v xml:space="preserve">cyfanswm Housing Revenue Account </v>
      </c>
    </row>
    <row r="57" spans="2:18">
      <c r="B57" s="170" t="s">
        <v>96</v>
      </c>
      <c r="C57" s="72"/>
      <c r="D57" s="70" t="s">
        <v>2575</v>
      </c>
      <c r="E57" s="73"/>
      <c r="H57" s="65" t="s">
        <v>518</v>
      </c>
      <c r="I57" s="65" t="s">
        <v>519</v>
      </c>
      <c r="M57" s="65" t="str">
        <f t="shared" si="0"/>
        <v/>
      </c>
      <c r="N57" s="65" t="str">
        <f t="shared" si="1"/>
        <v/>
      </c>
      <c r="O57" s="65">
        <v>25</v>
      </c>
      <c r="P57" s="65" t="s">
        <v>520</v>
      </c>
      <c r="Q57" s="65" t="str">
        <f t="shared" si="2"/>
        <v/>
      </c>
      <c r="R57" s="68" t="str">
        <f t="shared" si="3"/>
        <v>Environmental work in renewal areas</v>
      </c>
    </row>
    <row r="58" spans="2:18">
      <c r="B58" s="170" t="s">
        <v>2670</v>
      </c>
      <c r="C58" s="69"/>
      <c r="D58" s="70" t="s">
        <v>2671</v>
      </c>
      <c r="E58" s="73"/>
      <c r="H58" s="65" t="s">
        <v>523</v>
      </c>
      <c r="I58" s="65" t="s">
        <v>524</v>
      </c>
      <c r="M58" s="65" t="str">
        <f t="shared" si="0"/>
        <v/>
      </c>
      <c r="N58" s="65" t="str">
        <f t="shared" si="1"/>
        <v/>
      </c>
      <c r="O58" s="65">
        <v>26</v>
      </c>
      <c r="P58" s="65" t="s">
        <v>525</v>
      </c>
      <c r="Q58" s="65" t="str">
        <f t="shared" si="2"/>
        <v/>
      </c>
      <c r="R58" s="68" t="str">
        <f t="shared" si="3"/>
        <v>Group repair</v>
      </c>
    </row>
    <row r="59" spans="2:18" ht="38.25">
      <c r="B59" s="170" t="s">
        <v>1300</v>
      </c>
      <c r="C59" s="72"/>
      <c r="D59" s="70" t="s">
        <v>2677</v>
      </c>
      <c r="E59" s="73"/>
      <c r="H59" s="65" t="s">
        <v>528</v>
      </c>
      <c r="I59" s="65" t="s">
        <v>529</v>
      </c>
      <c r="M59" s="65" t="str">
        <f t="shared" si="0"/>
        <v/>
      </c>
      <c r="N59" s="65" t="str">
        <f t="shared" si="1"/>
        <v/>
      </c>
      <c r="O59" s="65">
        <v>27</v>
      </c>
      <c r="P59" s="65" t="s">
        <v>530</v>
      </c>
      <c r="Q59" s="65" t="str">
        <f t="shared" si="2"/>
        <v/>
      </c>
      <c r="R59" s="68" t="str">
        <f t="shared" si="3"/>
        <v>Slum clearance</v>
      </c>
    </row>
    <row r="60" spans="2:18">
      <c r="B60" s="170" t="s">
        <v>94</v>
      </c>
      <c r="C60" s="69"/>
      <c r="D60" s="70" t="s">
        <v>2705</v>
      </c>
      <c r="E60" s="73"/>
      <c r="H60" s="65" t="s">
        <v>533</v>
      </c>
      <c r="I60" s="65" t="s">
        <v>534</v>
      </c>
      <c r="M60" s="65" t="str">
        <f t="shared" si="0"/>
        <v/>
      </c>
      <c r="N60" s="65" t="str">
        <f t="shared" si="1"/>
        <v/>
      </c>
      <c r="O60" s="65">
        <v>28</v>
      </c>
      <c r="P60" s="65" t="s">
        <v>535</v>
      </c>
      <c r="Q60" s="65" t="str">
        <f t="shared" si="2"/>
        <v/>
      </c>
      <c r="R60" s="68" t="str">
        <f t="shared" si="3"/>
        <v>Low cost home ownership (non-HRA)</v>
      </c>
    </row>
    <row r="61" spans="2:18">
      <c r="B61" s="170" t="s">
        <v>95</v>
      </c>
      <c r="C61" s="69"/>
      <c r="D61" s="70" t="s">
        <v>2776</v>
      </c>
      <c r="E61" s="73"/>
      <c r="H61" s="65" t="s">
        <v>538</v>
      </c>
      <c r="I61" s="65" t="s">
        <v>539</v>
      </c>
      <c r="M61" s="65" t="str">
        <f t="shared" si="0"/>
        <v/>
      </c>
      <c r="N61" s="65" t="str">
        <f t="shared" si="1"/>
        <v/>
      </c>
      <c r="O61" s="65">
        <v>29</v>
      </c>
      <c r="P61" s="65" t="s">
        <v>540</v>
      </c>
      <c r="Q61" s="65" t="str">
        <f t="shared" si="2"/>
        <v/>
      </c>
      <c r="R61" s="68" t="str">
        <f t="shared" si="3"/>
        <v>Other council fund housing</v>
      </c>
    </row>
    <row r="62" spans="2:18">
      <c r="B62" s="170" t="s">
        <v>2874</v>
      </c>
      <c r="C62" s="69"/>
      <c r="D62" s="70" t="s">
        <v>2875</v>
      </c>
      <c r="E62" s="73"/>
      <c r="H62" s="65" t="s">
        <v>543</v>
      </c>
      <c r="I62" s="65" t="s">
        <v>544</v>
      </c>
      <c r="M62" s="65" t="str">
        <f t="shared" si="0"/>
        <v/>
      </c>
      <c r="N62" s="65" t="str">
        <f t="shared" si="1"/>
        <v/>
      </c>
      <c r="O62" s="65">
        <v>30</v>
      </c>
      <c r="P62" s="65" t="s">
        <v>545</v>
      </c>
      <c r="Q62" s="65" t="str">
        <f t="shared" si="2"/>
        <v/>
      </c>
      <c r="R62" s="68" t="str">
        <f t="shared" si="3"/>
        <v>Renovation grants</v>
      </c>
    </row>
    <row r="63" spans="2:18">
      <c r="B63" s="170" t="s">
        <v>2886</v>
      </c>
      <c r="C63" s="69"/>
      <c r="D63" s="70" t="s">
        <v>1569</v>
      </c>
      <c r="E63" s="73"/>
      <c r="H63" s="65" t="s">
        <v>548</v>
      </c>
      <c r="I63" s="65" t="s">
        <v>549</v>
      </c>
      <c r="M63" s="65" t="str">
        <f t="shared" si="0"/>
        <v/>
      </c>
      <c r="N63" s="65" t="str">
        <f t="shared" si="1"/>
        <v/>
      </c>
      <c r="O63" s="65">
        <v>31</v>
      </c>
      <c r="P63" s="65" t="s">
        <v>550</v>
      </c>
      <c r="Q63" s="65" t="str">
        <f t="shared" si="2"/>
        <v/>
      </c>
      <c r="R63" s="68" t="str">
        <f t="shared" si="3"/>
        <v>Other grants</v>
      </c>
    </row>
    <row r="64" spans="2:18">
      <c r="B64" s="170" t="s">
        <v>2923</v>
      </c>
      <c r="C64" s="69"/>
      <c r="D64" s="73" t="s">
        <v>2924</v>
      </c>
      <c r="E64" s="73"/>
      <c r="H64" s="65" t="s">
        <v>552</v>
      </c>
      <c r="I64" s="65" t="s">
        <v>553</v>
      </c>
      <c r="M64" s="65" t="str">
        <f t="shared" si="0"/>
        <v/>
      </c>
      <c r="N64" s="65" t="str">
        <f t="shared" si="1"/>
        <v/>
      </c>
      <c r="O64" s="65">
        <v>32</v>
      </c>
      <c r="P64" s="65" t="s">
        <v>554</v>
      </c>
      <c r="Q64" s="65" t="str">
        <f t="shared" si="2"/>
        <v>(lines 25 to 31)</v>
      </c>
      <c r="R64" s="68" t="str">
        <f t="shared" si="3"/>
        <v xml:space="preserve">cyfanswm council fund housing </v>
      </c>
    </row>
    <row r="65" spans="2:18">
      <c r="B65" s="170" t="s">
        <v>1107</v>
      </c>
      <c r="C65" s="69"/>
      <c r="D65" s="73" t="s">
        <v>1108</v>
      </c>
      <c r="E65" s="73"/>
      <c r="H65" s="65" t="s">
        <v>557</v>
      </c>
      <c r="I65" s="65" t="s">
        <v>558</v>
      </c>
      <c r="M65" s="65" t="str">
        <f t="shared" si="0"/>
        <v/>
      </c>
      <c r="N65" s="65" t="str">
        <f t="shared" si="1"/>
        <v/>
      </c>
      <c r="O65" s="65">
        <v>33</v>
      </c>
      <c r="P65" s="65" t="s">
        <v>559</v>
      </c>
      <c r="Q65" s="65" t="str">
        <f t="shared" si="2"/>
        <v/>
      </c>
      <c r="R65" s="68" t="str">
        <f t="shared" si="3"/>
        <v>Lending to registered social landlords</v>
      </c>
    </row>
    <row r="66" spans="2:18">
      <c r="B66" s="170" t="s">
        <v>824</v>
      </c>
      <c r="C66" s="69"/>
      <c r="D66" s="73" t="s">
        <v>2927</v>
      </c>
      <c r="E66" s="73"/>
      <c r="H66" s="65" t="s">
        <v>562</v>
      </c>
      <c r="I66" s="65" t="s">
        <v>563</v>
      </c>
      <c r="M66" s="65" t="str">
        <f t="shared" si="0"/>
        <v/>
      </c>
      <c r="N66" s="65" t="str">
        <f t="shared" si="1"/>
        <v/>
      </c>
      <c r="O66" s="65">
        <v>34</v>
      </c>
      <c r="P66" s="65" t="s">
        <v>564</v>
      </c>
      <c r="Q66" s="65" t="str">
        <f t="shared" si="2"/>
        <v/>
      </c>
      <c r="R66" s="68" t="str">
        <f t="shared" si="3"/>
        <v>Lending to other borrowers</v>
      </c>
    </row>
    <row r="67" spans="2:18">
      <c r="B67" s="170" t="s">
        <v>1342</v>
      </c>
      <c r="C67" s="69"/>
      <c r="D67" s="73" t="s">
        <v>2928</v>
      </c>
      <c r="E67" s="73"/>
      <c r="H67" s="65" t="s">
        <v>567</v>
      </c>
      <c r="I67" s="65" t="s">
        <v>568</v>
      </c>
      <c r="M67" s="65" t="str">
        <f t="shared" ref="M67:M130" si="4">IF(ISERROR(FIND("=",P67)),"",RIGHT(P67,LEN(P67)-FIND("=",P67)+3))</f>
        <v/>
      </c>
      <c r="N67" s="65" t="str">
        <f t="shared" ref="N67:N130" si="5">IF(ISERROR(FIND(" (include",P67)),"",RIGHT(P67,LEN(P67)-FIND(" (include",P67)))</f>
        <v/>
      </c>
      <c r="O67" s="65">
        <v>35</v>
      </c>
      <c r="P67" s="65" t="s">
        <v>569</v>
      </c>
      <c r="Q67" s="65" t="str">
        <f t="shared" ref="Q67:Q130" si="6">IF(ISERROR(FIND(" (line",P67)),"",RIGHT(P67,LEN(P67)-FIND(" (line",P67)))</f>
        <v>(lines 33 and 34)</v>
      </c>
      <c r="R67" s="68" t="str">
        <f t="shared" ref="R67:R130" si="7">LEFT(P67,LEN(P67)-LEN(Q67))</f>
        <v xml:space="preserve">cyfanswm housing / SDA Act advances </v>
      </c>
    </row>
    <row r="68" spans="2:18">
      <c r="B68" s="170" t="s">
        <v>1159</v>
      </c>
      <c r="C68" s="69"/>
      <c r="D68" s="73" t="s">
        <v>1160</v>
      </c>
      <c r="E68" s="73"/>
      <c r="H68" s="65" t="s">
        <v>572</v>
      </c>
      <c r="I68" s="65" t="s">
        <v>573</v>
      </c>
      <c r="M68" s="65" t="str">
        <f t="shared" si="4"/>
        <v/>
      </c>
      <c r="N68" s="65" t="str">
        <f t="shared" si="5"/>
        <v/>
      </c>
      <c r="O68" s="65">
        <v>36</v>
      </c>
      <c r="P68" s="65" t="s">
        <v>574</v>
      </c>
      <c r="Q68" s="65" t="str">
        <f t="shared" si="6"/>
        <v>(lines 24+32+35)</v>
      </c>
      <c r="R68" s="68" t="str">
        <f t="shared" si="7"/>
        <v xml:space="preserve">cyfanswm housing </v>
      </c>
    </row>
    <row r="69" spans="2:18" ht="25.5">
      <c r="B69" s="170" t="s">
        <v>309</v>
      </c>
      <c r="C69" s="69"/>
      <c r="D69" s="73"/>
      <c r="E69" s="73"/>
      <c r="H69" s="65" t="s">
        <v>577</v>
      </c>
      <c r="I69" s="65" t="s">
        <v>578</v>
      </c>
      <c r="M69" s="65" t="str">
        <f t="shared" si="4"/>
        <v/>
      </c>
      <c r="N69" s="65" t="str">
        <f t="shared" si="5"/>
        <v/>
      </c>
      <c r="O69" s="65">
        <v>37</v>
      </c>
      <c r="P69" s="65" t="s">
        <v>579</v>
      </c>
      <c r="Q69" s="65" t="str">
        <f t="shared" si="6"/>
        <v/>
      </c>
      <c r="R69" s="68" t="str">
        <f t="shared" si="7"/>
        <v>Library services</v>
      </c>
    </row>
    <row r="70" spans="2:18">
      <c r="B70" s="170" t="s">
        <v>2940</v>
      </c>
      <c r="C70" s="69"/>
      <c r="D70" s="73"/>
      <c r="E70" s="73"/>
      <c r="H70" s="65" t="s">
        <v>582</v>
      </c>
      <c r="I70" s="65" t="s">
        <v>583</v>
      </c>
      <c r="M70" s="65" t="str">
        <f t="shared" si="4"/>
        <v/>
      </c>
      <c r="N70" s="65" t="str">
        <f t="shared" si="5"/>
        <v/>
      </c>
      <c r="O70" s="65">
        <v>38</v>
      </c>
      <c r="P70" s="65" t="s">
        <v>584</v>
      </c>
      <c r="Q70" s="65" t="str">
        <f t="shared" si="6"/>
        <v/>
      </c>
      <c r="R70" s="68" t="str">
        <f t="shared" si="7"/>
        <v>Museums and galleries</v>
      </c>
    </row>
    <row r="71" spans="2:18">
      <c r="B71" s="170" t="s">
        <v>222</v>
      </c>
      <c r="C71" s="69"/>
      <c r="D71" s="73" t="s">
        <v>2943</v>
      </c>
      <c r="E71" s="73"/>
      <c r="H71" s="65" t="s">
        <v>587</v>
      </c>
      <c r="I71" s="65" t="s">
        <v>588</v>
      </c>
      <c r="M71" s="65" t="str">
        <f t="shared" si="4"/>
        <v/>
      </c>
      <c r="N71" s="65" t="str">
        <f t="shared" si="5"/>
        <v/>
      </c>
      <c r="O71" s="65">
        <v>39</v>
      </c>
      <c r="P71" s="65" t="s">
        <v>589</v>
      </c>
      <c r="Q71" s="65" t="str">
        <f t="shared" si="6"/>
        <v/>
      </c>
      <c r="R71" s="68" t="str">
        <f t="shared" si="7"/>
        <v>Arts activities and facilities (including theatres)</v>
      </c>
    </row>
    <row r="72" spans="2:18">
      <c r="B72" s="170" t="s">
        <v>221</v>
      </c>
      <c r="C72" s="69"/>
      <c r="D72" s="73" t="s">
        <v>1573</v>
      </c>
      <c r="E72" s="73"/>
      <c r="H72" s="65" t="s">
        <v>592</v>
      </c>
      <c r="I72" s="65" t="s">
        <v>593</v>
      </c>
      <c r="M72" s="65" t="str">
        <f t="shared" si="4"/>
        <v/>
      </c>
      <c r="N72" s="65" t="str">
        <f t="shared" si="5"/>
        <v/>
      </c>
      <c r="O72" s="65">
        <v>40</v>
      </c>
      <c r="P72" s="65" t="s">
        <v>594</v>
      </c>
      <c r="Q72" s="65" t="str">
        <f t="shared" si="6"/>
        <v>(lines 37 to 39)</v>
      </c>
      <c r="R72" s="68" t="str">
        <f t="shared" si="7"/>
        <v xml:space="preserve">cyfanswm libraries, culture and heritage </v>
      </c>
    </row>
    <row r="73" spans="2:18">
      <c r="B73" s="170" t="s">
        <v>3002</v>
      </c>
      <c r="C73" s="69"/>
      <c r="D73" s="73" t="s">
        <v>3003</v>
      </c>
      <c r="E73" s="73"/>
      <c r="H73" s="65" t="s">
        <v>597</v>
      </c>
      <c r="I73" s="65" t="s">
        <v>598</v>
      </c>
      <c r="M73" s="65" t="str">
        <f t="shared" si="4"/>
        <v/>
      </c>
      <c r="N73" s="65" t="str">
        <f t="shared" si="5"/>
        <v/>
      </c>
      <c r="O73" s="65">
        <v>41</v>
      </c>
      <c r="P73" s="65" t="s">
        <v>599</v>
      </c>
      <c r="Q73" s="65" t="str">
        <f t="shared" si="6"/>
        <v/>
      </c>
      <c r="R73" s="68" t="str">
        <f t="shared" si="7"/>
        <v>Land drainage and flood prevention</v>
      </c>
    </row>
    <row r="74" spans="2:18">
      <c r="B74" s="170" t="s">
        <v>3038</v>
      </c>
      <c r="C74" s="69"/>
      <c r="D74" s="73" t="s">
        <v>3039</v>
      </c>
      <c r="E74" s="73"/>
      <c r="H74" s="65" t="s">
        <v>602</v>
      </c>
      <c r="I74" s="65" t="s">
        <v>603</v>
      </c>
      <c r="M74" s="65" t="str">
        <f t="shared" si="4"/>
        <v/>
      </c>
      <c r="N74" s="65" t="str">
        <f t="shared" si="5"/>
        <v/>
      </c>
      <c r="O74" s="65">
        <v>42</v>
      </c>
      <c r="P74" s="65" t="s">
        <v>604</v>
      </c>
      <c r="Q74" s="65" t="str">
        <f t="shared" si="6"/>
        <v/>
      </c>
      <c r="R74" s="68" t="str">
        <f t="shared" si="7"/>
        <v>Coast protection</v>
      </c>
    </row>
    <row r="75" spans="2:18">
      <c r="B75" s="170" t="s">
        <v>3054</v>
      </c>
      <c r="C75" s="69"/>
      <c r="D75" s="73" t="s">
        <v>3055</v>
      </c>
      <c r="E75" s="73"/>
      <c r="H75" s="65" t="s">
        <v>607</v>
      </c>
      <c r="I75" s="65" t="s">
        <v>608</v>
      </c>
      <c r="M75" s="65" t="str">
        <f t="shared" si="4"/>
        <v/>
      </c>
      <c r="N75" s="65" t="str">
        <f t="shared" si="5"/>
        <v/>
      </c>
      <c r="O75" s="65">
        <v>43</v>
      </c>
      <c r="P75" s="65" t="s">
        <v>609</v>
      </c>
      <c r="Q75" s="65" t="str">
        <f t="shared" si="6"/>
        <v/>
      </c>
      <c r="R75" s="68" t="str">
        <f t="shared" si="7"/>
        <v>Other agriculture and fisheries</v>
      </c>
    </row>
    <row r="76" spans="2:18">
      <c r="B76" s="170" t="s">
        <v>1293</v>
      </c>
      <c r="C76" s="69"/>
      <c r="D76" s="73" t="s">
        <v>1433</v>
      </c>
      <c r="E76" s="73"/>
      <c r="H76" s="65" t="s">
        <v>612</v>
      </c>
      <c r="I76" s="65" t="s">
        <v>613</v>
      </c>
      <c r="M76" s="65" t="str">
        <f t="shared" si="4"/>
        <v/>
      </c>
      <c r="N76" s="65" t="str">
        <f t="shared" si="5"/>
        <v/>
      </c>
      <c r="O76" s="65">
        <v>44</v>
      </c>
      <c r="P76" s="65" t="s">
        <v>614</v>
      </c>
      <c r="Q76" s="65" t="str">
        <f t="shared" si="6"/>
        <v>(lines 41 to 43)</v>
      </c>
      <c r="R76" s="68" t="str">
        <f t="shared" si="7"/>
        <v xml:space="preserve">cyfanswm agriculture and fisheries </v>
      </c>
    </row>
    <row r="77" spans="2:18">
      <c r="B77" s="170" t="s">
        <v>1252</v>
      </c>
      <c r="C77" s="69"/>
      <c r="D77" s="73" t="s">
        <v>3067</v>
      </c>
      <c r="E77" s="73"/>
      <c r="H77" s="65" t="s">
        <v>617</v>
      </c>
      <c r="I77" s="65" t="s">
        <v>618</v>
      </c>
      <c r="M77" s="65" t="str">
        <f t="shared" si="4"/>
        <v/>
      </c>
      <c r="N77" s="65" t="str">
        <f t="shared" si="5"/>
        <v/>
      </c>
      <c r="O77" s="65">
        <v>46</v>
      </c>
      <c r="P77" s="65" t="s">
        <v>619</v>
      </c>
      <c r="Q77" s="65" t="str">
        <f t="shared" si="6"/>
        <v/>
      </c>
      <c r="R77" s="68" t="str">
        <f t="shared" si="7"/>
        <v>Sports facilities</v>
      </c>
    </row>
    <row r="78" spans="2:18">
      <c r="B78" s="170" t="s">
        <v>232</v>
      </c>
      <c r="C78" s="69"/>
      <c r="D78" s="73" t="s">
        <v>3072</v>
      </c>
      <c r="E78" s="73"/>
      <c r="H78" s="65" t="s">
        <v>622</v>
      </c>
      <c r="I78" s="65" t="s">
        <v>623</v>
      </c>
      <c r="M78" s="65" t="str">
        <f t="shared" si="4"/>
        <v/>
      </c>
      <c r="N78" s="65" t="str">
        <f t="shared" si="5"/>
        <v/>
      </c>
      <c r="O78" s="65">
        <v>47</v>
      </c>
      <c r="P78" s="65" t="s">
        <v>624</v>
      </c>
      <c r="Q78" s="65" t="str">
        <f t="shared" si="6"/>
        <v/>
      </c>
      <c r="R78" s="68" t="str">
        <f t="shared" si="7"/>
        <v>Sports development and children's play</v>
      </c>
    </row>
    <row r="79" spans="2:18">
      <c r="B79" s="170" t="s">
        <v>229</v>
      </c>
      <c r="C79" s="69"/>
      <c r="D79" s="73" t="s">
        <v>3073</v>
      </c>
      <c r="E79" s="73"/>
      <c r="H79" s="65" t="s">
        <v>627</v>
      </c>
      <c r="I79" s="65" t="s">
        <v>628</v>
      </c>
      <c r="M79" s="65" t="str">
        <f t="shared" si="4"/>
        <v/>
      </c>
      <c r="N79" s="65" t="str">
        <f t="shared" si="5"/>
        <v/>
      </c>
      <c r="O79" s="65">
        <v>48</v>
      </c>
      <c r="P79" s="65" t="s">
        <v>629</v>
      </c>
      <c r="Q79" s="65" t="str">
        <f t="shared" si="6"/>
        <v>(lines 46 and 47)</v>
      </c>
      <c r="R79" s="68" t="str">
        <f t="shared" si="7"/>
        <v xml:space="preserve">cyfanswm sport and recreation </v>
      </c>
    </row>
    <row r="80" spans="2:18" ht="25.5">
      <c r="B80" s="170" t="s">
        <v>3076</v>
      </c>
      <c r="C80" s="69"/>
      <c r="D80" s="73" t="s">
        <v>3077</v>
      </c>
      <c r="E80" s="73"/>
      <c r="H80" s="65" t="s">
        <v>632</v>
      </c>
      <c r="I80" s="65" t="s">
        <v>633</v>
      </c>
      <c r="M80" s="65" t="str">
        <f t="shared" si="4"/>
        <v/>
      </c>
      <c r="N80" s="65" t="str">
        <f t="shared" si="5"/>
        <v/>
      </c>
      <c r="O80" s="65">
        <v>49</v>
      </c>
      <c r="P80" s="65" t="s">
        <v>634</v>
      </c>
      <c r="Q80" s="65" t="str">
        <f t="shared" si="6"/>
        <v/>
      </c>
      <c r="R80" s="68" t="str">
        <f t="shared" si="7"/>
        <v>Derelict land reclamation (grant aided)</v>
      </c>
    </row>
    <row r="81" spans="2:18">
      <c r="B81" s="170" t="s">
        <v>3164</v>
      </c>
      <c r="C81" s="69"/>
      <c r="D81" s="73" t="s">
        <v>3165</v>
      </c>
      <c r="E81" s="73"/>
      <c r="H81" s="65" t="s">
        <v>637</v>
      </c>
      <c r="I81" s="65" t="s">
        <v>637</v>
      </c>
      <c r="M81" s="65" t="str">
        <f t="shared" si="4"/>
        <v/>
      </c>
      <c r="N81" s="65" t="str">
        <f t="shared" si="5"/>
        <v/>
      </c>
      <c r="O81" s="65">
        <v>50</v>
      </c>
      <c r="P81" s="65" t="s">
        <v>638</v>
      </c>
      <c r="Q81" s="65" t="str">
        <f t="shared" si="6"/>
        <v/>
      </c>
      <c r="R81" s="68" t="str">
        <f t="shared" si="7"/>
        <v>Parks and open spaces</v>
      </c>
    </row>
    <row r="82" spans="2:18">
      <c r="B82" s="170" t="s">
        <v>3175</v>
      </c>
      <c r="C82" s="69"/>
      <c r="D82" s="73" t="s">
        <v>3176</v>
      </c>
      <c r="E82" s="73"/>
      <c r="H82" s="65">
        <v>5</v>
      </c>
      <c r="I82" s="65">
        <v>5</v>
      </c>
      <c r="M82" s="65" t="str">
        <f t="shared" si="4"/>
        <v/>
      </c>
      <c r="N82" s="65" t="str">
        <f t="shared" si="5"/>
        <v/>
      </c>
      <c r="O82" s="65">
        <v>51</v>
      </c>
      <c r="P82" s="65" t="s">
        <v>641</v>
      </c>
      <c r="Q82" s="65" t="str">
        <f t="shared" si="6"/>
        <v/>
      </c>
      <c r="R82" s="68" t="str">
        <f t="shared" si="7"/>
        <v>Waste collection</v>
      </c>
    </row>
    <row r="83" spans="2:18" ht="15">
      <c r="B83" s="170" t="s">
        <v>457</v>
      </c>
      <c r="C83" s="72" t="s">
        <v>454</v>
      </c>
      <c r="D83" s="70" t="s">
        <v>458</v>
      </c>
      <c r="E83" s="71"/>
      <c r="H83" s="65" t="s">
        <v>644</v>
      </c>
      <c r="I83" s="65" t="s">
        <v>644</v>
      </c>
      <c r="M83" s="65" t="str">
        <f t="shared" si="4"/>
        <v/>
      </c>
      <c r="N83" s="65" t="str">
        <f t="shared" si="5"/>
        <v/>
      </c>
      <c r="O83" s="65">
        <v>52</v>
      </c>
      <c r="P83" s="65" t="s">
        <v>645</v>
      </c>
      <c r="Q83" s="65" t="str">
        <f t="shared" si="6"/>
        <v/>
      </c>
      <c r="R83" s="68" t="str">
        <f t="shared" si="7"/>
        <v>Waste disposal</v>
      </c>
    </row>
    <row r="84" spans="2:18">
      <c r="B84" s="170" t="s">
        <v>1736</v>
      </c>
      <c r="C84" s="72"/>
      <c r="D84" s="70" t="s">
        <v>1737</v>
      </c>
      <c r="E84" s="73"/>
      <c r="H84" s="65" t="s">
        <v>648</v>
      </c>
      <c r="I84" s="65" t="s">
        <v>648</v>
      </c>
      <c r="M84" s="65" t="str">
        <f t="shared" si="4"/>
        <v/>
      </c>
      <c r="N84" s="65" t="str">
        <f t="shared" si="5"/>
        <v/>
      </c>
      <c r="O84" s="65">
        <v>52.1</v>
      </c>
      <c r="P84" s="65" t="s">
        <v>649</v>
      </c>
      <c r="Q84" s="65" t="str">
        <f t="shared" si="6"/>
        <v/>
      </c>
      <c r="R84" s="68" t="str">
        <f t="shared" si="7"/>
        <v>Trade Waste</v>
      </c>
    </row>
    <row r="85" spans="2:18">
      <c r="B85" s="170" t="s">
        <v>1742</v>
      </c>
      <c r="C85" s="72"/>
      <c r="D85" s="70" t="s">
        <v>1743</v>
      </c>
      <c r="E85" s="73"/>
      <c r="H85" s="65" t="s">
        <v>652</v>
      </c>
      <c r="I85" s="65" t="s">
        <v>653</v>
      </c>
      <c r="M85" s="65" t="str">
        <f t="shared" si="4"/>
        <v/>
      </c>
      <c r="N85" s="65" t="str">
        <f t="shared" si="5"/>
        <v/>
      </c>
      <c r="O85" s="65">
        <v>52.2</v>
      </c>
      <c r="P85" s="65" t="s">
        <v>654</v>
      </c>
      <c r="Q85" s="65" t="str">
        <f t="shared" si="6"/>
        <v/>
      </c>
      <c r="R85" s="68" t="str">
        <f t="shared" si="7"/>
        <v>Recycling</v>
      </c>
    </row>
    <row r="86" spans="2:18">
      <c r="B86" s="170" t="s">
        <v>1746</v>
      </c>
      <c r="C86" s="72"/>
      <c r="D86" s="70" t="s">
        <v>1747</v>
      </c>
      <c r="E86" s="73"/>
      <c r="H86" s="65" t="s">
        <v>657</v>
      </c>
      <c r="I86" s="65" t="s">
        <v>658</v>
      </c>
      <c r="M86" s="65" t="str">
        <f t="shared" si="4"/>
        <v/>
      </c>
      <c r="N86" s="65" t="str">
        <f t="shared" si="5"/>
        <v/>
      </c>
      <c r="O86" s="65">
        <v>52.3</v>
      </c>
      <c r="P86" s="65" t="s">
        <v>659</v>
      </c>
      <c r="Q86" s="65" t="str">
        <f t="shared" si="6"/>
        <v/>
      </c>
      <c r="R86" s="68" t="str">
        <f t="shared" si="7"/>
        <v>Waste Minimisation</v>
      </c>
    </row>
    <row r="87" spans="2:18">
      <c r="B87" s="170" t="s">
        <v>1748</v>
      </c>
      <c r="C87" s="72"/>
      <c r="D87" s="70" t="s">
        <v>1749</v>
      </c>
      <c r="E87" s="73"/>
      <c r="H87" s="65" t="s">
        <v>662</v>
      </c>
      <c r="I87" s="65" t="s">
        <v>663</v>
      </c>
      <c r="M87" s="65" t="str">
        <f t="shared" si="4"/>
        <v/>
      </c>
      <c r="N87" s="65" t="str">
        <f t="shared" si="5"/>
        <v/>
      </c>
      <c r="O87" s="65">
        <v>52.4</v>
      </c>
      <c r="P87" s="65" t="s">
        <v>664</v>
      </c>
      <c r="Q87" s="65" t="str">
        <f t="shared" si="6"/>
        <v/>
      </c>
      <c r="R87" s="68" t="str">
        <f t="shared" si="7"/>
        <v>Climate Change Costs</v>
      </c>
    </row>
    <row r="88" spans="2:18">
      <c r="B88" s="170" t="s">
        <v>1750</v>
      </c>
      <c r="C88" s="72"/>
      <c r="D88" s="70" t="s">
        <v>1751</v>
      </c>
      <c r="E88" s="73"/>
      <c r="H88" s="65" t="s">
        <v>667</v>
      </c>
      <c r="I88" s="65" t="s">
        <v>668</v>
      </c>
      <c r="M88" s="65" t="str">
        <f t="shared" si="4"/>
        <v/>
      </c>
      <c r="N88" s="65" t="str">
        <f t="shared" si="5"/>
        <v/>
      </c>
      <c r="O88" s="65">
        <v>53</v>
      </c>
      <c r="P88" s="65" t="s">
        <v>669</v>
      </c>
      <c r="Q88" s="65" t="str">
        <f t="shared" si="6"/>
        <v/>
      </c>
      <c r="R88" s="68" t="str">
        <f t="shared" si="7"/>
        <v>General administration</v>
      </c>
    </row>
    <row r="89" spans="2:18">
      <c r="B89" s="170" t="s">
        <v>1777</v>
      </c>
      <c r="C89" s="72"/>
      <c r="D89" s="70" t="s">
        <v>1778</v>
      </c>
      <c r="E89" s="73"/>
      <c r="H89" s="65" t="s">
        <v>672</v>
      </c>
      <c r="I89" s="65" t="s">
        <v>673</v>
      </c>
      <c r="M89" s="65" t="str">
        <f t="shared" si="4"/>
        <v/>
      </c>
      <c r="N89" s="65" t="str">
        <f t="shared" si="5"/>
        <v/>
      </c>
      <c r="O89" s="65">
        <v>54</v>
      </c>
      <c r="P89" s="65" t="s">
        <v>674</v>
      </c>
      <c r="Q89" s="65" t="str">
        <f t="shared" si="6"/>
        <v/>
      </c>
      <c r="R89" s="68" t="str">
        <f t="shared" si="7"/>
        <v>Planning and development (including Gypsy sites)</v>
      </c>
    </row>
    <row r="90" spans="2:18">
      <c r="B90" s="170" t="s">
        <v>1785</v>
      </c>
      <c r="C90" s="72"/>
      <c r="D90" s="70" t="s">
        <v>1786</v>
      </c>
      <c r="E90" s="73"/>
      <c r="H90" s="65" t="s">
        <v>677</v>
      </c>
      <c r="I90" s="65" t="s">
        <v>678</v>
      </c>
      <c r="M90" s="65" t="str">
        <f t="shared" si="4"/>
        <v/>
      </c>
      <c r="N90" s="65" t="str">
        <f t="shared" si="5"/>
        <v/>
      </c>
      <c r="O90" s="65">
        <v>55</v>
      </c>
      <c r="P90" s="65" t="s">
        <v>679</v>
      </c>
      <c r="Q90" s="65" t="str">
        <f t="shared" si="6"/>
        <v/>
      </c>
      <c r="R90" s="68" t="str">
        <f t="shared" si="7"/>
        <v>Community safety</v>
      </c>
    </row>
    <row r="91" spans="2:18">
      <c r="B91" s="170" t="s">
        <v>1789</v>
      </c>
      <c r="C91" s="72"/>
      <c r="D91" s="70" t="s">
        <v>1790</v>
      </c>
      <c r="E91" s="73"/>
      <c r="H91" s="65" t="s">
        <v>682</v>
      </c>
      <c r="I91" s="65" t="s">
        <v>683</v>
      </c>
      <c r="M91" s="65" t="str">
        <f t="shared" si="4"/>
        <v/>
      </c>
      <c r="N91" s="65" t="str">
        <f t="shared" si="5"/>
        <v/>
      </c>
      <c r="O91" s="65">
        <v>55.1</v>
      </c>
      <c r="P91" s="65" t="s">
        <v>684</v>
      </c>
      <c r="Q91" s="65" t="str">
        <f t="shared" si="6"/>
        <v/>
      </c>
      <c r="R91" s="68" t="str">
        <f t="shared" si="7"/>
        <v>Community safety (CCTV)</v>
      </c>
    </row>
    <row r="92" spans="2:18">
      <c r="B92" s="170" t="s">
        <v>1791</v>
      </c>
      <c r="C92" s="72"/>
      <c r="D92" s="70" t="s">
        <v>1792</v>
      </c>
      <c r="E92" s="73"/>
      <c r="H92" s="65" t="s">
        <v>687</v>
      </c>
      <c r="I92" s="65" t="s">
        <v>688</v>
      </c>
      <c r="M92" s="65" t="str">
        <f t="shared" si="4"/>
        <v/>
      </c>
      <c r="N92" s="65" t="str">
        <f t="shared" si="5"/>
        <v/>
      </c>
      <c r="O92" s="65">
        <v>56.1</v>
      </c>
      <c r="P92" s="65" t="s">
        <v>689</v>
      </c>
      <c r="Q92" s="65" t="str">
        <f t="shared" si="6"/>
        <v/>
      </c>
      <c r="R92" s="68" t="str">
        <f t="shared" si="7"/>
        <v>Regulatory services (Environmental health)</v>
      </c>
    </row>
    <row r="93" spans="2:18">
      <c r="B93" s="170" t="s">
        <v>1795</v>
      </c>
      <c r="C93" s="72"/>
      <c r="D93" s="70" t="s">
        <v>1796</v>
      </c>
      <c r="E93" s="73"/>
      <c r="H93" s="65" t="s">
        <v>692</v>
      </c>
      <c r="I93" s="65" t="s">
        <v>692</v>
      </c>
      <c r="M93" s="65" t="str">
        <f t="shared" si="4"/>
        <v/>
      </c>
      <c r="N93" s="65" t="str">
        <f t="shared" si="5"/>
        <v/>
      </c>
      <c r="O93" s="65">
        <v>56.2</v>
      </c>
      <c r="P93" s="65" t="s">
        <v>693</v>
      </c>
      <c r="Q93" s="65" t="str">
        <f t="shared" si="6"/>
        <v/>
      </c>
      <c r="R93" s="68" t="str">
        <f t="shared" si="7"/>
        <v>Regulatory services (Trading Standards)</v>
      </c>
    </row>
    <row r="94" spans="2:18">
      <c r="B94" s="170" t="s">
        <v>1814</v>
      </c>
      <c r="C94" s="72"/>
      <c r="D94" s="70" t="s">
        <v>1815</v>
      </c>
      <c r="E94" s="73"/>
      <c r="H94" s="65" t="s">
        <v>644</v>
      </c>
      <c r="I94" s="65" t="s">
        <v>644</v>
      </c>
      <c r="M94" s="65" t="str">
        <f t="shared" si="4"/>
        <v/>
      </c>
      <c r="N94" s="65" t="str">
        <f t="shared" si="5"/>
        <v/>
      </c>
      <c r="O94" s="65">
        <v>57</v>
      </c>
      <c r="P94" s="65" t="s">
        <v>696</v>
      </c>
      <c r="Q94" s="65" t="str">
        <f t="shared" si="6"/>
        <v/>
      </c>
      <c r="R94" s="68" t="str">
        <f t="shared" si="7"/>
        <v>Miscellaneous</v>
      </c>
    </row>
    <row r="95" spans="2:18">
      <c r="B95" s="170" t="s">
        <v>1816</v>
      </c>
      <c r="C95" s="72"/>
      <c r="D95" s="70" t="s">
        <v>1817</v>
      </c>
      <c r="E95" s="73"/>
      <c r="H95" s="65" t="s">
        <v>648</v>
      </c>
      <c r="I95" s="65" t="s">
        <v>648</v>
      </c>
      <c r="M95" s="65" t="str">
        <f t="shared" si="4"/>
        <v/>
      </c>
      <c r="N95" s="65" t="str">
        <f t="shared" si="5"/>
        <v/>
      </c>
      <c r="O95" s="65">
        <v>58</v>
      </c>
      <c r="P95" s="65" t="s">
        <v>699</v>
      </c>
      <c r="Q95" s="65" t="str">
        <f t="shared" si="6"/>
        <v/>
      </c>
      <c r="R95" s="68" t="str">
        <f t="shared" si="7"/>
        <v>Industrial and commercial</v>
      </c>
    </row>
    <row r="96" spans="2:18">
      <c r="B96" s="170" t="s">
        <v>1818</v>
      </c>
      <c r="C96" s="72"/>
      <c r="D96" s="70" t="s">
        <v>1819</v>
      </c>
      <c r="E96" s="73"/>
      <c r="H96" s="65" t="s">
        <v>702</v>
      </c>
      <c r="I96" s="65" t="s">
        <v>703</v>
      </c>
      <c r="M96" s="65" t="str">
        <f t="shared" si="4"/>
        <v/>
      </c>
      <c r="N96" s="65" t="str">
        <f t="shared" si="5"/>
        <v/>
      </c>
      <c r="O96" s="65">
        <v>59</v>
      </c>
      <c r="P96" s="65" t="s">
        <v>704</v>
      </c>
      <c r="Q96" s="65" t="str">
        <f t="shared" si="6"/>
        <v/>
      </c>
      <c r="R96" s="68" t="str">
        <f t="shared" si="7"/>
        <v>Other trading services</v>
      </c>
    </row>
    <row r="97" spans="2:18">
      <c r="B97" s="170" t="s">
        <v>1820</v>
      </c>
      <c r="C97" s="72"/>
      <c r="D97" s="70" t="s">
        <v>1821</v>
      </c>
      <c r="E97" s="73"/>
      <c r="H97" s="65" t="s">
        <v>707</v>
      </c>
      <c r="I97" s="65" t="s">
        <v>708</v>
      </c>
      <c r="M97" s="65" t="str">
        <f t="shared" si="4"/>
        <v/>
      </c>
      <c r="N97" s="65" t="str">
        <f t="shared" si="5"/>
        <v/>
      </c>
      <c r="O97" s="65">
        <v>60</v>
      </c>
      <c r="P97" s="65" t="s">
        <v>709</v>
      </c>
      <c r="Q97" s="65" t="str">
        <f t="shared" si="6"/>
        <v>(lines 49 to 59)</v>
      </c>
      <c r="R97" s="68" t="str">
        <f t="shared" si="7"/>
        <v xml:space="preserve">cyfanswm other environmental services </v>
      </c>
    </row>
    <row r="98" spans="2:18">
      <c r="B98" s="170" t="s">
        <v>1822</v>
      </c>
      <c r="C98" s="72"/>
      <c r="D98" s="70" t="s">
        <v>1823</v>
      </c>
      <c r="E98" s="73"/>
      <c r="H98" s="65" t="s">
        <v>712</v>
      </c>
      <c r="I98" s="65" t="s">
        <v>713</v>
      </c>
      <c r="M98" s="65" t="str">
        <f t="shared" si="4"/>
        <v/>
      </c>
      <c r="N98" s="65" t="str">
        <f t="shared" si="5"/>
        <v/>
      </c>
      <c r="O98" s="65">
        <v>61</v>
      </c>
      <c r="P98" s="65" t="s">
        <v>358</v>
      </c>
      <c r="Q98" s="65" t="str">
        <f t="shared" si="6"/>
        <v/>
      </c>
      <c r="R98" s="68" t="str">
        <f t="shared" si="7"/>
        <v>Fire and rescue service</v>
      </c>
    </row>
    <row r="99" spans="2:18">
      <c r="B99" s="170" t="s">
        <v>1845</v>
      </c>
      <c r="C99" s="72"/>
      <c r="D99" s="70" t="s">
        <v>1846</v>
      </c>
      <c r="E99" s="73"/>
      <c r="H99" s="65" t="s">
        <v>716</v>
      </c>
      <c r="I99" s="65" t="s">
        <v>717</v>
      </c>
      <c r="M99" s="65" t="str">
        <f t="shared" si="4"/>
        <v/>
      </c>
      <c r="N99" s="65" t="str">
        <f t="shared" si="5"/>
        <v/>
      </c>
      <c r="O99" s="65">
        <v>62</v>
      </c>
      <c r="P99" s="65" t="s">
        <v>364</v>
      </c>
      <c r="Q99" s="65" t="str">
        <f t="shared" si="6"/>
        <v/>
      </c>
      <c r="R99" s="68" t="str">
        <f t="shared" si="7"/>
        <v>Police service</v>
      </c>
    </row>
    <row r="100" spans="2:18">
      <c r="B100" s="170" t="s">
        <v>1847</v>
      </c>
      <c r="C100" s="72"/>
      <c r="D100" s="70" t="s">
        <v>1848</v>
      </c>
      <c r="E100" s="73"/>
      <c r="H100" s="65" t="s">
        <v>720</v>
      </c>
      <c r="I100" s="65" t="s">
        <v>721</v>
      </c>
      <c r="M100" s="65" t="str">
        <f t="shared" si="4"/>
        <v/>
      </c>
      <c r="N100" s="65" t="str">
        <f t="shared" si="5"/>
        <v/>
      </c>
      <c r="O100" s="65">
        <v>63</v>
      </c>
      <c r="P100" s="65" t="s">
        <v>722</v>
      </c>
      <c r="Q100" s="65" t="str">
        <f t="shared" si="6"/>
        <v/>
      </c>
      <c r="R100" s="68" t="str">
        <f t="shared" si="7"/>
        <v>Coroners' courts</v>
      </c>
    </row>
    <row r="101" spans="2:18">
      <c r="B101" s="170" t="s">
        <v>1855</v>
      </c>
      <c r="C101" s="72"/>
      <c r="D101" s="70" t="s">
        <v>1856</v>
      </c>
      <c r="E101" s="73"/>
      <c r="H101" s="65" t="s">
        <v>725</v>
      </c>
      <c r="I101" s="65" t="s">
        <v>726</v>
      </c>
      <c r="M101" s="65" t="str">
        <f t="shared" si="4"/>
        <v/>
      </c>
      <c r="N101" s="65" t="str">
        <f t="shared" si="5"/>
        <v/>
      </c>
      <c r="O101" s="65">
        <v>65</v>
      </c>
      <c r="P101" s="65" t="s">
        <v>727</v>
      </c>
      <c r="Q101" s="65" t="str">
        <f t="shared" si="6"/>
        <v>(lines 61 to 63)</v>
      </c>
      <c r="R101" s="68" t="str">
        <f t="shared" si="7"/>
        <v xml:space="preserve">cyfanswm law, order and protective services </v>
      </c>
    </row>
    <row r="102" spans="2:18">
      <c r="B102" s="170" t="s">
        <v>1863</v>
      </c>
      <c r="C102" s="72"/>
      <c r="D102" s="70" t="s">
        <v>1864</v>
      </c>
      <c r="E102" s="73"/>
      <c r="H102" s="65" t="s">
        <v>730</v>
      </c>
      <c r="I102" s="65" t="s">
        <v>731</v>
      </c>
      <c r="M102" s="65" t="str">
        <f t="shared" si="4"/>
        <v/>
      </c>
      <c r="N102" s="65" t="str">
        <f t="shared" si="5"/>
        <v/>
      </c>
      <c r="O102" s="65">
        <v>66</v>
      </c>
      <c r="P102" s="65" t="s">
        <v>732</v>
      </c>
      <c r="Q102" s="65" t="str">
        <f t="shared" si="6"/>
        <v>(lines 6+7+15+36+40+44+48+60+65)</v>
      </c>
      <c r="R102" s="68" t="str">
        <f t="shared" si="7"/>
        <v xml:space="preserve">cyfanswm all services </v>
      </c>
    </row>
    <row r="103" spans="2:18">
      <c r="B103" s="170" t="s">
        <v>1869</v>
      </c>
      <c r="C103" s="72"/>
      <c r="D103" s="70" t="s">
        <v>1870</v>
      </c>
      <c r="E103" s="73"/>
      <c r="H103" s="65" t="s">
        <v>735</v>
      </c>
      <c r="I103" s="65" t="s">
        <v>736</v>
      </c>
      <c r="M103" s="65" t="str">
        <f t="shared" si="4"/>
        <v/>
      </c>
      <c r="N103" s="65" t="str">
        <f t="shared" si="5"/>
        <v/>
      </c>
      <c r="P103" s="65" t="s">
        <v>737</v>
      </c>
      <c r="Q103" s="65" t="str">
        <f t="shared" si="6"/>
        <v/>
      </c>
      <c r="R103" s="68" t="str">
        <f t="shared" si="7"/>
        <v>Figures in blue are calculated, the cells are protected.</v>
      </c>
    </row>
    <row r="104" spans="2:18">
      <c r="B104" s="170" t="s">
        <v>645</v>
      </c>
      <c r="C104" s="72"/>
      <c r="D104" s="70" t="s">
        <v>1872</v>
      </c>
      <c r="E104" s="73"/>
      <c r="H104" s="65" t="s">
        <v>740</v>
      </c>
      <c r="I104" s="65" t="s">
        <v>741</v>
      </c>
      <c r="M104" s="65" t="str">
        <f t="shared" si="4"/>
        <v/>
      </c>
      <c r="N104" s="65" t="str">
        <f t="shared" si="5"/>
        <v/>
      </c>
      <c r="O104" s="65" t="s">
        <v>742</v>
      </c>
      <c r="P104" s="65" t="s">
        <v>743</v>
      </c>
      <c r="Q104" s="65" t="str">
        <f t="shared" si="6"/>
        <v/>
      </c>
      <c r="R104" s="68" t="str">
        <f t="shared" si="7"/>
        <v>Acquisition of land and existing buildings</v>
      </c>
    </row>
    <row r="105" spans="2:18">
      <c r="B105" s="170" t="s">
        <v>1882</v>
      </c>
      <c r="C105" s="72"/>
      <c r="D105" s="70" t="s">
        <v>1883</v>
      </c>
      <c r="E105" s="73"/>
      <c r="H105" s="65" t="s">
        <v>746</v>
      </c>
      <c r="I105" s="65" t="s">
        <v>747</v>
      </c>
      <c r="M105" s="65" t="str">
        <f t="shared" si="4"/>
        <v/>
      </c>
      <c r="N105" s="65" t="str">
        <f t="shared" si="5"/>
        <v/>
      </c>
      <c r="O105" s="65" t="s">
        <v>108</v>
      </c>
      <c r="P105" s="65" t="s">
        <v>748</v>
      </c>
      <c r="Q105" s="65" t="str">
        <f t="shared" si="6"/>
        <v/>
      </c>
      <c r="R105" s="68" t="str">
        <f t="shared" si="7"/>
        <v>New construction, conversion and renovation</v>
      </c>
    </row>
    <row r="106" spans="2:18">
      <c r="B106" s="170" t="s">
        <v>1884</v>
      </c>
      <c r="C106" s="72"/>
      <c r="D106" s="70" t="s">
        <v>1885</v>
      </c>
      <c r="E106" s="73"/>
      <c r="H106" s="65" t="s">
        <v>751</v>
      </c>
      <c r="I106" s="65" t="s">
        <v>752</v>
      </c>
      <c r="M106" s="65" t="str">
        <f t="shared" si="4"/>
        <v/>
      </c>
      <c r="N106" s="65" t="str">
        <f t="shared" si="5"/>
        <v/>
      </c>
      <c r="O106" s="65" t="s">
        <v>109</v>
      </c>
      <c r="P106" s="65" t="s">
        <v>753</v>
      </c>
      <c r="Q106" s="65" t="str">
        <f t="shared" si="6"/>
        <v/>
      </c>
      <c r="R106" s="68" t="str">
        <f t="shared" si="7"/>
        <v>Vehicles</v>
      </c>
    </row>
    <row r="107" spans="2:18">
      <c r="B107" s="170" t="s">
        <v>1886</v>
      </c>
      <c r="C107" s="72"/>
      <c r="D107" s="70" t="s">
        <v>1887</v>
      </c>
      <c r="E107" s="73"/>
      <c r="H107" s="65" t="s">
        <v>756</v>
      </c>
      <c r="I107" s="65" t="s">
        <v>757</v>
      </c>
      <c r="M107" s="65" t="str">
        <f t="shared" si="4"/>
        <v/>
      </c>
      <c r="N107" s="65" t="str">
        <f t="shared" si="5"/>
        <v/>
      </c>
      <c r="O107" s="65" t="s">
        <v>110</v>
      </c>
      <c r="P107" s="65" t="s">
        <v>758</v>
      </c>
      <c r="Q107" s="65" t="str">
        <f t="shared" si="6"/>
        <v/>
      </c>
      <c r="R107" s="68" t="str">
        <f t="shared" si="7"/>
        <v>Plant machinery and equipment</v>
      </c>
    </row>
    <row r="108" spans="2:18">
      <c r="B108" s="170" t="s">
        <v>1888</v>
      </c>
      <c r="C108" s="72"/>
      <c r="D108" s="70" t="s">
        <v>1889</v>
      </c>
      <c r="E108" s="73"/>
      <c r="H108" s="65" t="s">
        <v>761</v>
      </c>
      <c r="I108" s="65" t="s">
        <v>762</v>
      </c>
      <c r="M108" s="65" t="str">
        <f t="shared" si="4"/>
        <v/>
      </c>
      <c r="N108" s="65" t="str">
        <f t="shared" si="5"/>
        <v/>
      </c>
      <c r="O108" s="65" t="s">
        <v>763</v>
      </c>
      <c r="P108" s="65" t="s">
        <v>764</v>
      </c>
      <c r="Q108" s="65" t="str">
        <f t="shared" si="6"/>
        <v/>
      </c>
      <c r="R108" s="68" t="str">
        <f t="shared" si="7"/>
        <v>cyfanswm expenditure on fixed assets</v>
      </c>
    </row>
    <row r="109" spans="2:18">
      <c r="B109" s="170" t="s">
        <v>1890</v>
      </c>
      <c r="C109" s="72"/>
      <c r="D109" s="70" t="s">
        <v>1891</v>
      </c>
      <c r="E109" s="73"/>
      <c r="H109" s="65" t="s">
        <v>767</v>
      </c>
      <c r="I109" s="65" t="s">
        <v>768</v>
      </c>
      <c r="M109" s="65" t="str">
        <f t="shared" si="4"/>
        <v/>
      </c>
      <c r="N109" s="65" t="str">
        <f t="shared" si="5"/>
        <v/>
      </c>
      <c r="O109" s="65" t="s">
        <v>769</v>
      </c>
      <c r="P109" s="65" t="s">
        <v>770</v>
      </c>
      <c r="Q109" s="65" t="str">
        <f t="shared" si="6"/>
        <v/>
      </c>
      <c r="R109" s="68" t="str">
        <f t="shared" si="7"/>
        <v>Capital grants</v>
      </c>
    </row>
    <row r="110" spans="2:18">
      <c r="B110" s="170" t="s">
        <v>1894</v>
      </c>
      <c r="C110" s="72"/>
      <c r="D110" s="70" t="s">
        <v>1895</v>
      </c>
      <c r="E110" s="73"/>
      <c r="H110" s="65" t="s">
        <v>637</v>
      </c>
      <c r="I110" s="65" t="s">
        <v>637</v>
      </c>
      <c r="M110" s="65" t="str">
        <f t="shared" si="4"/>
        <v/>
      </c>
      <c r="N110" s="65" t="str">
        <f t="shared" si="5"/>
        <v/>
      </c>
      <c r="O110" s="65" t="s">
        <v>771</v>
      </c>
      <c r="P110" s="65" t="s">
        <v>772</v>
      </c>
      <c r="Q110" s="65" t="str">
        <f t="shared" si="6"/>
        <v/>
      </c>
      <c r="R110" s="68" t="str">
        <f t="shared" si="7"/>
        <v>Capital advances</v>
      </c>
    </row>
    <row r="111" spans="2:18">
      <c r="B111" s="170" t="s">
        <v>1911</v>
      </c>
      <c r="C111" s="72"/>
      <c r="D111" s="70" t="s">
        <v>1912</v>
      </c>
      <c r="E111" s="73"/>
      <c r="H111" s="65">
        <v>5</v>
      </c>
      <c r="I111" s="65">
        <v>5</v>
      </c>
      <c r="M111" s="65" t="str">
        <f t="shared" si="4"/>
        <v/>
      </c>
      <c r="N111" s="65" t="str">
        <f t="shared" si="5"/>
        <v/>
      </c>
      <c r="O111" s="65" t="s">
        <v>773</v>
      </c>
      <c r="P111" s="65" t="s">
        <v>774</v>
      </c>
      <c r="Q111" s="65" t="str">
        <f t="shared" si="6"/>
        <v/>
      </c>
      <c r="R111" s="68" t="str">
        <f t="shared" si="7"/>
        <v>Intangible fixed assets</v>
      </c>
    </row>
    <row r="112" spans="2:18">
      <c r="B112" s="170" t="s">
        <v>1915</v>
      </c>
      <c r="C112" s="72"/>
      <c r="D112" s="70" t="s">
        <v>1916</v>
      </c>
      <c r="E112" s="73"/>
      <c r="H112" s="65" t="s">
        <v>644</v>
      </c>
      <c r="I112" s="65" t="s">
        <v>644</v>
      </c>
      <c r="M112" s="65" t="str">
        <f t="shared" si="4"/>
        <v/>
      </c>
      <c r="N112" s="65" t="str">
        <f t="shared" si="5"/>
        <v/>
      </c>
      <c r="O112" s="65" t="s">
        <v>777</v>
      </c>
      <c r="P112" s="65" t="s">
        <v>778</v>
      </c>
      <c r="Q112" s="65" t="str">
        <f t="shared" si="6"/>
        <v/>
      </c>
      <c r="R112" s="68" t="str">
        <f t="shared" si="7"/>
        <v>cyfanswm capital expenditure</v>
      </c>
    </row>
    <row r="113" spans="2:18">
      <c r="B113" s="170" t="s">
        <v>1944</v>
      </c>
      <c r="C113" s="72"/>
      <c r="D113" s="70" t="s">
        <v>1945</v>
      </c>
      <c r="E113" s="73"/>
      <c r="H113" s="65" t="s">
        <v>648</v>
      </c>
      <c r="I113" s="65" t="s">
        <v>648</v>
      </c>
      <c r="M113" s="65" t="str">
        <f t="shared" si="4"/>
        <v/>
      </c>
      <c r="N113" s="65" t="str">
        <f t="shared" si="5"/>
        <v/>
      </c>
      <c r="O113" s="65" t="s">
        <v>781</v>
      </c>
      <c r="P113" s="65" t="s">
        <v>782</v>
      </c>
      <c r="Q113" s="65" t="str">
        <f t="shared" si="6"/>
        <v/>
      </c>
      <c r="R113" s="68" t="str">
        <f t="shared" si="7"/>
        <v>Sale of fixed assets</v>
      </c>
    </row>
    <row r="114" spans="2:18">
      <c r="B114" s="170" t="s">
        <v>1946</v>
      </c>
      <c r="C114" s="72"/>
      <c r="D114" s="70" t="s">
        <v>1947</v>
      </c>
      <c r="E114" s="73"/>
      <c r="H114" s="65" t="s">
        <v>785</v>
      </c>
      <c r="I114" s="65" t="s">
        <v>786</v>
      </c>
      <c r="M114" s="65" t="str">
        <f t="shared" si="4"/>
        <v/>
      </c>
      <c r="N114" s="65" t="str">
        <f t="shared" si="5"/>
        <v/>
      </c>
      <c r="O114" s="65" t="s">
        <v>787</v>
      </c>
      <c r="P114" s="65" t="s">
        <v>788</v>
      </c>
      <c r="Q114" s="65" t="str">
        <f t="shared" si="6"/>
        <v/>
      </c>
      <c r="R114" s="68" t="str">
        <f t="shared" si="7"/>
        <v>Repayments of capital advances and grants</v>
      </c>
    </row>
    <row r="115" spans="2:18">
      <c r="B115" s="170" t="s">
        <v>1950</v>
      </c>
      <c r="C115" s="72"/>
      <c r="D115" s="70" t="s">
        <v>1951</v>
      </c>
      <c r="E115" s="73"/>
      <c r="H115" s="65" t="s">
        <v>791</v>
      </c>
      <c r="I115" s="65" t="s">
        <v>792</v>
      </c>
      <c r="M115" s="65" t="str">
        <f t="shared" si="4"/>
        <v/>
      </c>
      <c r="N115" s="65" t="str">
        <f t="shared" si="5"/>
        <v/>
      </c>
      <c r="O115" s="65" t="s">
        <v>793</v>
      </c>
      <c r="P115" s="65" t="s">
        <v>794</v>
      </c>
      <c r="Q115" s="65" t="str">
        <f t="shared" si="6"/>
        <v/>
      </c>
      <c r="R115" s="68" t="str">
        <f t="shared" si="7"/>
        <v>cyfanswm receipts</v>
      </c>
    </row>
    <row r="116" spans="2:18">
      <c r="B116" s="170" t="s">
        <v>1952</v>
      </c>
      <c r="C116" s="72"/>
      <c r="D116" s="70" t="s">
        <v>1953</v>
      </c>
      <c r="E116" s="73"/>
      <c r="H116" s="65" t="s">
        <v>795</v>
      </c>
      <c r="I116" s="65" t="s">
        <v>796</v>
      </c>
      <c r="M116" s="65" t="str">
        <f t="shared" si="4"/>
        <v/>
      </c>
      <c r="N116" s="65" t="str">
        <f t="shared" si="5"/>
        <v/>
      </c>
      <c r="O116" s="65" t="s">
        <v>797</v>
      </c>
      <c r="P116" s="65" t="s">
        <v>798</v>
      </c>
      <c r="Q116" s="65" t="str">
        <f t="shared" si="6"/>
        <v/>
      </c>
      <c r="R116" s="68" t="str">
        <f t="shared" si="7"/>
        <v>Assets not funded by LA capital expenditure</v>
      </c>
    </row>
    <row r="117" spans="2:18">
      <c r="B117" s="170" t="s">
        <v>1954</v>
      </c>
      <c r="C117" s="72"/>
      <c r="D117" s="70" t="s">
        <v>1955</v>
      </c>
      <c r="E117" s="73"/>
      <c r="H117" s="65" t="s">
        <v>801</v>
      </c>
      <c r="I117" s="65" t="s">
        <v>802</v>
      </c>
      <c r="M117" s="65" t="str">
        <f t="shared" si="4"/>
        <v/>
      </c>
      <c r="N117" s="65" t="str">
        <f t="shared" si="5"/>
        <v/>
      </c>
      <c r="P117" s="65" t="s">
        <v>803</v>
      </c>
      <c r="Q117" s="65" t="str">
        <f t="shared" si="6"/>
        <v/>
      </c>
      <c r="R117" s="68" t="str">
        <f t="shared" si="7"/>
        <v>Capital expenditure and receipts</v>
      </c>
    </row>
    <row r="118" spans="2:18">
      <c r="B118" s="170" t="s">
        <v>1958</v>
      </c>
      <c r="C118" s="72"/>
      <c r="D118" s="70" t="s">
        <v>410</v>
      </c>
      <c r="E118" s="73"/>
      <c r="H118" s="65" t="s">
        <v>806</v>
      </c>
      <c r="I118" s="65" t="s">
        <v>807</v>
      </c>
      <c r="M118" s="65" t="str">
        <f t="shared" si="4"/>
        <v/>
      </c>
      <c r="N118" s="65" t="str">
        <f t="shared" si="5"/>
        <v/>
      </c>
      <c r="P118" s="65" t="s">
        <v>808</v>
      </c>
      <c r="Q118" s="65" t="str">
        <f t="shared" si="6"/>
        <v/>
      </c>
      <c r="R118" s="68" t="str">
        <f t="shared" si="7"/>
        <v>Expenditure</v>
      </c>
    </row>
    <row r="119" spans="2:18">
      <c r="B119" s="170" t="s">
        <v>1959</v>
      </c>
      <c r="C119" s="72"/>
      <c r="D119" s="70" t="s">
        <v>1960</v>
      </c>
      <c r="E119" s="73"/>
      <c r="H119" s="65" t="s">
        <v>811</v>
      </c>
      <c r="I119" s="65" t="s">
        <v>812</v>
      </c>
      <c r="M119" s="65" t="str">
        <f t="shared" si="4"/>
        <v/>
      </c>
      <c r="N119" s="65" t="str">
        <f t="shared" si="5"/>
        <v/>
      </c>
      <c r="P119" s="65" t="s">
        <v>813</v>
      </c>
      <c r="Q119" s="65" t="str">
        <f t="shared" si="6"/>
        <v/>
      </c>
      <c r="R119" s="68" t="str">
        <f t="shared" si="7"/>
        <v>Receipts</v>
      </c>
    </row>
    <row r="120" spans="2:18">
      <c r="B120" s="170" t="s">
        <v>1961</v>
      </c>
      <c r="C120" s="72"/>
      <c r="D120" s="70" t="s">
        <v>1962</v>
      </c>
      <c r="E120" s="73"/>
      <c r="H120" s="65" t="s">
        <v>816</v>
      </c>
      <c r="I120" s="65" t="s">
        <v>817</v>
      </c>
      <c r="M120" s="65" t="str">
        <f t="shared" si="4"/>
        <v/>
      </c>
      <c r="N120" s="65" t="str">
        <f t="shared" si="5"/>
        <v/>
      </c>
      <c r="P120" s="65" t="s">
        <v>818</v>
      </c>
      <c r="Q120" s="65" t="str">
        <f t="shared" si="6"/>
        <v/>
      </c>
      <c r="R120" s="68" t="str">
        <f t="shared" si="7"/>
        <v>Memo</v>
      </c>
    </row>
    <row r="121" spans="2:18">
      <c r="B121" s="170" t="s">
        <v>1963</v>
      </c>
      <c r="C121" s="72"/>
      <c r="D121" s="70" t="s">
        <v>1964</v>
      </c>
      <c r="E121" s="73"/>
      <c r="H121" s="65" t="s">
        <v>821</v>
      </c>
      <c r="I121" s="65" t="s">
        <v>822</v>
      </c>
      <c r="M121" s="65" t="str">
        <f t="shared" si="4"/>
        <v/>
      </c>
      <c r="N121" s="65" t="str">
        <f t="shared" si="5"/>
        <v/>
      </c>
      <c r="P121" s="65" t="s">
        <v>823</v>
      </c>
      <c r="Q121" s="65" t="str">
        <f t="shared" si="6"/>
        <v/>
      </c>
      <c r="R121" s="68" t="str">
        <f t="shared" si="7"/>
        <v>£ thousand</v>
      </c>
    </row>
    <row r="122" spans="2:18">
      <c r="B122" s="170" t="s">
        <v>1969</v>
      </c>
      <c r="C122" s="72"/>
      <c r="D122" s="70" t="s">
        <v>1970</v>
      </c>
      <c r="E122" s="73"/>
      <c r="H122" s="65" t="s">
        <v>826</v>
      </c>
      <c r="I122" s="65" t="s">
        <v>827</v>
      </c>
      <c r="M122" s="65" t="str">
        <f t="shared" si="4"/>
        <v/>
      </c>
      <c r="N122" s="65" t="str">
        <f t="shared" si="5"/>
        <v/>
      </c>
      <c r="Q122" s="65" t="str">
        <f t="shared" si="6"/>
        <v/>
      </c>
      <c r="R122" s="68" t="str">
        <f t="shared" si="7"/>
        <v/>
      </c>
    </row>
    <row r="123" spans="2:18">
      <c r="B123" s="170" t="s">
        <v>1971</v>
      </c>
      <c r="C123" s="72"/>
      <c r="D123" s="70" t="s">
        <v>1972</v>
      </c>
      <c r="E123" s="73"/>
      <c r="H123" s="65" t="s">
        <v>830</v>
      </c>
      <c r="I123" s="65" t="s">
        <v>831</v>
      </c>
      <c r="M123" s="65" t="str">
        <f t="shared" si="4"/>
        <v/>
      </c>
      <c r="N123" s="65" t="str">
        <f t="shared" si="5"/>
        <v/>
      </c>
      <c r="O123" s="64" t="s">
        <v>832</v>
      </c>
      <c r="P123" s="65" t="s">
        <v>833</v>
      </c>
      <c r="Q123" s="65" t="str">
        <f t="shared" si="6"/>
        <v/>
      </c>
      <c r="R123" s="68" t="str">
        <f t="shared" si="7"/>
        <v>COR 4:         Capital outturn 4</v>
      </c>
    </row>
    <row r="124" spans="2:18">
      <c r="B124" s="170" t="s">
        <v>1975</v>
      </c>
      <c r="C124" s="72"/>
      <c r="D124" s="70" t="s">
        <v>1976</v>
      </c>
      <c r="E124" s="73"/>
      <c r="H124" s="65" t="s">
        <v>836</v>
      </c>
      <c r="I124" s="65" t="s">
        <v>837</v>
      </c>
      <c r="M124" s="65" t="str">
        <f t="shared" si="4"/>
        <v/>
      </c>
      <c r="N124" s="65" t="str">
        <f t="shared" si="5"/>
        <v/>
      </c>
      <c r="P124" s="65" t="s">
        <v>838</v>
      </c>
      <c r="Q124" s="65" t="str">
        <f t="shared" si="6"/>
        <v/>
      </c>
      <c r="R124" s="68" t="str">
        <f t="shared" si="7"/>
        <v>Financing of capital expenditure and capital account summary, 2014-15</v>
      </c>
    </row>
    <row r="125" spans="2:18">
      <c r="B125" s="170" t="s">
        <v>391</v>
      </c>
      <c r="C125" s="72"/>
      <c r="D125" s="70" t="s">
        <v>1993</v>
      </c>
      <c r="E125" s="73"/>
      <c r="H125" s="65" t="s">
        <v>841</v>
      </c>
      <c r="I125" s="65" t="s">
        <v>842</v>
      </c>
      <c r="M125" s="65" t="str">
        <f t="shared" si="4"/>
        <v/>
      </c>
      <c r="N125" s="65" t="str">
        <f t="shared" si="5"/>
        <v/>
      </c>
      <c r="P125" s="65" t="s">
        <v>843</v>
      </c>
      <c r="Q125" s="65" t="str">
        <f t="shared" si="6"/>
        <v/>
      </c>
      <c r="R125" s="68" t="str">
        <f t="shared" si="7"/>
        <v>Service block (COR 1-2 corresponding references)</v>
      </c>
    </row>
    <row r="126" spans="2:18">
      <c r="B126" s="170" t="s">
        <v>2008</v>
      </c>
      <c r="C126" s="72"/>
      <c r="D126" s="70" t="s">
        <v>2009</v>
      </c>
      <c r="E126" s="73"/>
      <c r="H126" s="65" t="s">
        <v>846</v>
      </c>
      <c r="I126" s="65" t="s">
        <v>847</v>
      </c>
      <c r="M126" s="65" t="str">
        <f t="shared" si="4"/>
        <v/>
      </c>
      <c r="N126" s="65" t="str">
        <f t="shared" si="5"/>
        <v/>
      </c>
      <c r="O126" s="65">
        <v>1</v>
      </c>
      <c r="P126" s="65" t="s">
        <v>848</v>
      </c>
      <c r="Q126" s="65" t="str">
        <f t="shared" si="6"/>
        <v>(line 6)</v>
      </c>
      <c r="R126" s="68" t="str">
        <f t="shared" si="7"/>
        <v xml:space="preserve">Education </v>
      </c>
    </row>
    <row r="127" spans="2:18">
      <c r="B127" s="170" t="s">
        <v>2010</v>
      </c>
      <c r="C127" s="72"/>
      <c r="D127" s="70" t="s">
        <v>2011</v>
      </c>
      <c r="E127" s="73"/>
      <c r="H127" s="65" t="s">
        <v>851</v>
      </c>
      <c r="I127" s="65" t="s">
        <v>852</v>
      </c>
      <c r="M127" s="65" t="str">
        <f t="shared" si="4"/>
        <v/>
      </c>
      <c r="N127" s="65" t="str">
        <f t="shared" si="5"/>
        <v/>
      </c>
      <c r="O127" s="65">
        <v>2</v>
      </c>
      <c r="P127" s="65" t="s">
        <v>853</v>
      </c>
      <c r="Q127" s="65" t="str">
        <f t="shared" si="6"/>
        <v>(line 7)</v>
      </c>
      <c r="R127" s="68" t="str">
        <f t="shared" si="7"/>
        <v xml:space="preserve">Social services </v>
      </c>
    </row>
    <row r="128" spans="2:18">
      <c r="B128" s="170" t="s">
        <v>2012</v>
      </c>
      <c r="C128" s="72"/>
      <c r="D128" s="70" t="s">
        <v>2013</v>
      </c>
      <c r="E128" s="73"/>
      <c r="H128" s="65" t="s">
        <v>856</v>
      </c>
      <c r="I128" s="65" t="s">
        <v>857</v>
      </c>
      <c r="M128" s="65" t="str">
        <f t="shared" si="4"/>
        <v/>
      </c>
      <c r="N128" s="65" t="str">
        <f t="shared" si="5"/>
        <v/>
      </c>
      <c r="O128" s="65">
        <v>3</v>
      </c>
      <c r="P128" s="65" t="s">
        <v>858</v>
      </c>
      <c r="Q128" s="65" t="str">
        <f t="shared" si="6"/>
        <v>(line 15)</v>
      </c>
      <c r="R128" s="68" t="str">
        <f t="shared" si="7"/>
        <v xml:space="preserve">Transport </v>
      </c>
    </row>
    <row r="129" spans="2:18">
      <c r="B129" s="170" t="s">
        <v>2014</v>
      </c>
      <c r="C129" s="72"/>
      <c r="D129" s="70" t="s">
        <v>2015</v>
      </c>
      <c r="E129" s="73"/>
      <c r="H129" s="65" t="s">
        <v>861</v>
      </c>
      <c r="I129" s="65" t="s">
        <v>862</v>
      </c>
      <c r="M129" s="65" t="str">
        <f t="shared" si="4"/>
        <v/>
      </c>
      <c r="N129" s="65" t="str">
        <f t="shared" si="5"/>
        <v/>
      </c>
      <c r="O129" s="65">
        <v>4</v>
      </c>
      <c r="P129" s="65" t="s">
        <v>863</v>
      </c>
      <c r="Q129" s="65" t="str">
        <f t="shared" si="6"/>
        <v>(line 36)</v>
      </c>
      <c r="R129" s="68" t="str">
        <f t="shared" si="7"/>
        <v xml:space="preserve">Housing </v>
      </c>
    </row>
    <row r="130" spans="2:18">
      <c r="B130" s="170" t="s">
        <v>2040</v>
      </c>
      <c r="C130" s="72"/>
      <c r="D130" s="70" t="s">
        <v>2041</v>
      </c>
      <c r="E130" s="73"/>
      <c r="H130" s="65" t="s">
        <v>866</v>
      </c>
      <c r="I130" s="65" t="s">
        <v>867</v>
      </c>
      <c r="M130" s="65" t="str">
        <f t="shared" si="4"/>
        <v/>
      </c>
      <c r="N130" s="65" t="str">
        <f t="shared" si="5"/>
        <v/>
      </c>
      <c r="O130" s="65">
        <v>5</v>
      </c>
      <c r="P130" s="65" t="s">
        <v>868</v>
      </c>
      <c r="Q130" s="65" t="str">
        <f t="shared" si="6"/>
        <v>(line 40)</v>
      </c>
      <c r="R130" s="68" t="str">
        <f t="shared" si="7"/>
        <v xml:space="preserve">Libraries, culture and heritage </v>
      </c>
    </row>
    <row r="131" spans="2:18">
      <c r="B131" s="170" t="s">
        <v>2053</v>
      </c>
      <c r="C131" s="72"/>
      <c r="D131" s="70" t="s">
        <v>2054</v>
      </c>
      <c r="E131" s="73"/>
      <c r="H131" s="65" t="s">
        <v>871</v>
      </c>
      <c r="I131" s="65" t="s">
        <v>872</v>
      </c>
      <c r="M131" s="65" t="str">
        <f t="shared" ref="M131:M194" si="8">IF(ISERROR(FIND("=",P131)),"",RIGHT(P131,LEN(P131)-FIND("=",P131)+3))</f>
        <v/>
      </c>
      <c r="N131" s="65" t="str">
        <f t="shared" ref="N131:N194" si="9">IF(ISERROR(FIND(" (include",P131)),"",RIGHT(P131,LEN(P131)-FIND(" (include",P131)))</f>
        <v/>
      </c>
      <c r="O131" s="65">
        <v>6</v>
      </c>
      <c r="P131" s="65" t="s">
        <v>873</v>
      </c>
      <c r="Q131" s="65" t="str">
        <f t="shared" ref="Q131:Q152" si="10">IF(ISERROR(FIND(" (line",P131)),"",RIGHT(P131,LEN(P131)-FIND(" (line",P131)))</f>
        <v>(line 44)</v>
      </c>
      <c r="R131" s="68" t="str">
        <f t="shared" ref="R131:R194" si="11">LEFT(P131,LEN(P131)-LEN(Q131))</f>
        <v xml:space="preserve">Agriculture and fisheries </v>
      </c>
    </row>
    <row r="132" spans="2:18">
      <c r="B132" s="170" t="s">
        <v>2055</v>
      </c>
      <c r="C132" s="72"/>
      <c r="D132" s="70" t="s">
        <v>2056</v>
      </c>
      <c r="E132" s="73"/>
      <c r="H132" s="65" t="s">
        <v>876</v>
      </c>
      <c r="I132" s="65" t="s">
        <v>877</v>
      </c>
      <c r="M132" s="65" t="str">
        <f t="shared" si="8"/>
        <v/>
      </c>
      <c r="N132" s="65" t="str">
        <f t="shared" si="9"/>
        <v/>
      </c>
      <c r="O132" s="65">
        <v>7</v>
      </c>
      <c r="P132" s="65" t="s">
        <v>878</v>
      </c>
      <c r="Q132" s="65" t="str">
        <f t="shared" si="10"/>
        <v>(line 48)</v>
      </c>
      <c r="R132" s="68" t="str">
        <f t="shared" si="11"/>
        <v xml:space="preserve">Sport and recreation </v>
      </c>
    </row>
    <row r="133" spans="2:18">
      <c r="B133" s="170" t="s">
        <v>2057</v>
      </c>
      <c r="C133" s="72"/>
      <c r="D133" s="70" t="s">
        <v>2058</v>
      </c>
      <c r="E133" s="73"/>
      <c r="H133" s="65" t="s">
        <v>881</v>
      </c>
      <c r="I133" s="65" t="s">
        <v>882</v>
      </c>
      <c r="M133" s="65" t="str">
        <f t="shared" si="8"/>
        <v/>
      </c>
      <c r="N133" s="65" t="str">
        <f t="shared" si="9"/>
        <v/>
      </c>
      <c r="O133" s="65">
        <v>8</v>
      </c>
      <c r="P133" s="65" t="s">
        <v>883</v>
      </c>
      <c r="Q133" s="65" t="str">
        <f t="shared" si="10"/>
        <v>(line 60)</v>
      </c>
      <c r="R133" s="68" t="str">
        <f t="shared" si="11"/>
        <v xml:space="preserve">Other environmental services </v>
      </c>
    </row>
    <row r="134" spans="2:18">
      <c r="B134" s="170" t="s">
        <v>2059</v>
      </c>
      <c r="C134" s="72"/>
      <c r="D134" s="70" t="s">
        <v>2060</v>
      </c>
      <c r="E134" s="73"/>
      <c r="H134" s="65" t="s">
        <v>886</v>
      </c>
      <c r="I134" s="65" t="s">
        <v>887</v>
      </c>
      <c r="M134" s="65" t="str">
        <f t="shared" si="8"/>
        <v/>
      </c>
      <c r="N134" s="65" t="str">
        <f t="shared" si="9"/>
        <v/>
      </c>
      <c r="O134" s="65">
        <v>9</v>
      </c>
      <c r="P134" s="65" t="s">
        <v>888</v>
      </c>
      <c r="Q134" s="65" t="str">
        <f t="shared" si="10"/>
        <v>(line 61)</v>
      </c>
      <c r="R134" s="68" t="str">
        <f t="shared" si="11"/>
        <v xml:space="preserve">Fire and rescue service </v>
      </c>
    </row>
    <row r="135" spans="2:18">
      <c r="B135" s="170" t="s">
        <v>2061</v>
      </c>
      <c r="C135" s="72"/>
      <c r="D135" s="70" t="s">
        <v>2062</v>
      </c>
      <c r="E135" s="73"/>
      <c r="H135" s="65" t="s">
        <v>891</v>
      </c>
      <c r="I135" s="65" t="s">
        <v>892</v>
      </c>
      <c r="M135" s="65" t="str">
        <f t="shared" si="8"/>
        <v/>
      </c>
      <c r="N135" s="65" t="str">
        <f t="shared" si="9"/>
        <v/>
      </c>
      <c r="O135" s="65">
        <v>10</v>
      </c>
      <c r="P135" s="65" t="s">
        <v>893</v>
      </c>
      <c r="Q135" s="65" t="str">
        <f t="shared" si="10"/>
        <v>(line 62)</v>
      </c>
      <c r="R135" s="68" t="str">
        <f t="shared" si="11"/>
        <v xml:space="preserve">Police service </v>
      </c>
    </row>
    <row r="136" spans="2:18">
      <c r="B136" s="170" t="s">
        <v>2063</v>
      </c>
      <c r="C136" s="72"/>
      <c r="D136" s="70" t="s">
        <v>2064</v>
      </c>
      <c r="E136" s="73"/>
      <c r="H136" s="65" t="s">
        <v>896</v>
      </c>
      <c r="I136" s="65" t="s">
        <v>897</v>
      </c>
      <c r="M136" s="65" t="str">
        <f t="shared" si="8"/>
        <v/>
      </c>
      <c r="N136" s="65" t="str">
        <f t="shared" si="9"/>
        <v/>
      </c>
      <c r="O136" s="65">
        <v>11</v>
      </c>
      <c r="P136" s="65" t="s">
        <v>898</v>
      </c>
      <c r="Q136" s="65" t="str">
        <f t="shared" si="10"/>
        <v>(line 63)</v>
      </c>
      <c r="R136" s="68" t="str">
        <f t="shared" si="11"/>
        <v xml:space="preserve">Courts </v>
      </c>
    </row>
    <row r="137" spans="2:18">
      <c r="B137" s="170" t="s">
        <v>2065</v>
      </c>
      <c r="C137" s="72"/>
      <c r="D137" s="70" t="s">
        <v>2066</v>
      </c>
      <c r="E137" s="73"/>
      <c r="H137" s="65" t="s">
        <v>901</v>
      </c>
      <c r="I137" s="65" t="s">
        <v>901</v>
      </c>
      <c r="M137" s="65" t="str">
        <f t="shared" si="8"/>
        <v/>
      </c>
      <c r="N137" s="65" t="str">
        <f t="shared" si="9"/>
        <v/>
      </c>
      <c r="O137" s="65">
        <v>12</v>
      </c>
      <c r="P137" s="65" t="s">
        <v>902</v>
      </c>
      <c r="Q137" s="65" t="str">
        <f t="shared" si="10"/>
        <v>(lines 1 to 11)</v>
      </c>
      <c r="R137" s="68" t="str">
        <f t="shared" si="11"/>
        <v xml:space="preserve">cyfanswm expenditure / receipts (accruals) </v>
      </c>
    </row>
    <row r="138" spans="2:18">
      <c r="B138" s="170" t="s">
        <v>2067</v>
      </c>
      <c r="C138" s="72"/>
      <c r="D138" s="70" t="s">
        <v>2068</v>
      </c>
      <c r="E138" s="73"/>
      <c r="H138" s="65" t="s">
        <v>905</v>
      </c>
      <c r="I138" s="65" t="s">
        <v>906</v>
      </c>
      <c r="M138" s="65" t="str">
        <f t="shared" si="8"/>
        <v/>
      </c>
      <c r="N138" s="65" t="str">
        <f t="shared" si="9"/>
        <v/>
      </c>
      <c r="O138" s="65">
        <v>13</v>
      </c>
      <c r="P138" s="65" t="s">
        <v>907</v>
      </c>
      <c r="Q138" s="65" t="str">
        <f t="shared" si="10"/>
        <v/>
      </c>
      <c r="R138" s="68" t="str">
        <f t="shared" si="11"/>
        <v>cyfanswm expenditure treated as capital expenditure by virtue of a section 16(2)(b) direction (cyfanswm column 4, lines 1 to 11)</v>
      </c>
    </row>
    <row r="139" spans="2:18">
      <c r="B139" s="170" t="s">
        <v>2069</v>
      </c>
      <c r="C139" s="72"/>
      <c r="D139" s="70" t="s">
        <v>2070</v>
      </c>
      <c r="E139" s="73"/>
      <c r="H139" s="65" t="s">
        <v>257</v>
      </c>
      <c r="I139" s="65" t="s">
        <v>910</v>
      </c>
      <c r="M139" s="65" t="str">
        <f t="shared" si="8"/>
        <v/>
      </c>
      <c r="N139" s="65" t="str">
        <f t="shared" si="9"/>
        <v/>
      </c>
      <c r="O139" s="65">
        <v>14</v>
      </c>
      <c r="P139" s="65" t="s">
        <v>911</v>
      </c>
      <c r="Q139" s="65" t="str">
        <f t="shared" si="10"/>
        <v/>
      </c>
      <c r="R139" s="68" t="str">
        <f t="shared" si="11"/>
        <v>Large Scale Voluntary Transfer (LSVT) levy</v>
      </c>
    </row>
    <row r="140" spans="2:18">
      <c r="B140" s="170" t="s">
        <v>2071</v>
      </c>
      <c r="C140" s="72"/>
      <c r="D140" s="70" t="s">
        <v>2072</v>
      </c>
      <c r="E140" s="73"/>
      <c r="H140" s="65" t="s">
        <v>914</v>
      </c>
      <c r="I140" s="65" t="s">
        <v>915</v>
      </c>
      <c r="M140" s="65" t="str">
        <f t="shared" si="8"/>
        <v/>
      </c>
      <c r="N140" s="65" t="str">
        <f t="shared" si="9"/>
        <v/>
      </c>
      <c r="O140" s="65">
        <v>15</v>
      </c>
      <c r="P140" s="65" t="s">
        <v>916</v>
      </c>
      <c r="Q140" s="65" t="str">
        <f t="shared" si="10"/>
        <v/>
      </c>
      <c r="R140" s="68" t="str">
        <f t="shared" si="11"/>
        <v>cyfanswm expenditure and other transactions (cyfanswm lines 12 to 14, column 3)</v>
      </c>
    </row>
    <row r="141" spans="2:18" ht="38.25">
      <c r="B141" s="170" t="s">
        <v>2073</v>
      </c>
      <c r="C141" s="72"/>
      <c r="D141" s="70" t="s">
        <v>2074</v>
      </c>
      <c r="E141" s="73"/>
      <c r="H141" s="65" t="s">
        <v>919</v>
      </c>
      <c r="I141" s="65" t="s">
        <v>920</v>
      </c>
      <c r="M141" s="65" t="str">
        <f t="shared" si="8"/>
        <v/>
      </c>
      <c r="N141" s="65" t="str">
        <f t="shared" si="9"/>
        <v/>
      </c>
      <c r="O141" s="65" t="s">
        <v>742</v>
      </c>
      <c r="P141" s="74" t="s">
        <v>3448</v>
      </c>
      <c r="Q141" s="65" t="str">
        <f t="shared" si="10"/>
        <v/>
      </c>
      <c r="R141" s="68" t="str">
        <f t="shared" si="11"/>
        <v>cyfanswm / expenditure 
COR 1-2, 
column 9</v>
      </c>
    </row>
    <row r="142" spans="2:18">
      <c r="B142" s="170" t="s">
        <v>2075</v>
      </c>
      <c r="C142" s="72"/>
      <c r="D142" s="70" t="s">
        <v>2076</v>
      </c>
      <c r="E142" s="73"/>
      <c r="H142" s="65" t="s">
        <v>923</v>
      </c>
      <c r="I142" s="65" t="s">
        <v>924</v>
      </c>
      <c r="M142" s="65" t="str">
        <f t="shared" si="8"/>
        <v/>
      </c>
      <c r="N142" s="65" t="str">
        <f t="shared" si="9"/>
        <v/>
      </c>
      <c r="O142" s="65" t="s">
        <v>108</v>
      </c>
      <c r="P142" s="65" t="s">
        <v>925</v>
      </c>
      <c r="Q142" s="65" t="str">
        <f t="shared" si="10"/>
        <v/>
      </c>
      <c r="R142" s="68" t="str">
        <f t="shared" si="11"/>
        <v>Acquisition of share or loan capital</v>
      </c>
    </row>
    <row r="143" spans="2:18">
      <c r="B143" s="170" t="s">
        <v>2077</v>
      </c>
      <c r="C143" s="72"/>
      <c r="D143" s="70" t="s">
        <v>2078</v>
      </c>
      <c r="E143" s="73"/>
      <c r="H143" s="65" t="s">
        <v>928</v>
      </c>
      <c r="I143" s="65" t="s">
        <v>929</v>
      </c>
      <c r="M143" s="65" t="str">
        <f t="shared" si="8"/>
        <v/>
      </c>
      <c r="N143" s="65" t="str">
        <f t="shared" si="9"/>
        <v/>
      </c>
      <c r="O143" s="65" t="s">
        <v>930</v>
      </c>
      <c r="P143" s="65" t="s">
        <v>3449</v>
      </c>
      <c r="Q143" s="65" t="str">
        <f t="shared" si="10"/>
        <v/>
      </c>
      <c r="R143" s="68" t="str">
        <f t="shared" si="11"/>
        <v>cyfanswm / capital expenditure</v>
      </c>
    </row>
    <row r="144" spans="2:18">
      <c r="B144" s="170" t="s">
        <v>2079</v>
      </c>
      <c r="C144" s="72"/>
      <c r="D144" s="70" t="s">
        <v>2080</v>
      </c>
      <c r="E144" s="73"/>
      <c r="H144" s="65" t="s">
        <v>933</v>
      </c>
      <c r="I144" s="65" t="s">
        <v>934</v>
      </c>
      <c r="M144" s="65" t="str">
        <f t="shared" si="8"/>
        <v/>
      </c>
      <c r="N144" s="65" t="str">
        <f t="shared" si="9"/>
        <v/>
      </c>
      <c r="O144" s="65" t="s">
        <v>110</v>
      </c>
      <c r="P144" s="65" t="s">
        <v>935</v>
      </c>
      <c r="Q144" s="65" t="str">
        <f t="shared" si="10"/>
        <v/>
      </c>
      <c r="R144" s="68" t="str">
        <f t="shared" si="11"/>
        <v>Expenditure by section 16(2) direction</v>
      </c>
    </row>
    <row r="145" spans="2:18" ht="38.25">
      <c r="B145" s="170" t="s">
        <v>2081</v>
      </c>
      <c r="C145" s="72"/>
      <c r="D145" s="70" t="s">
        <v>2082</v>
      </c>
      <c r="E145" s="73"/>
      <c r="H145" s="65" t="s">
        <v>938</v>
      </c>
      <c r="I145" s="65" t="s">
        <v>939</v>
      </c>
      <c r="M145" s="65" t="str">
        <f t="shared" si="8"/>
        <v/>
      </c>
      <c r="N145" s="65" t="str">
        <f t="shared" si="9"/>
        <v/>
      </c>
      <c r="O145" s="65" t="s">
        <v>769</v>
      </c>
      <c r="P145" s="74" t="s">
        <v>3450</v>
      </c>
      <c r="Q145" s="65" t="str">
        <f t="shared" si="10"/>
        <v/>
      </c>
      <c r="R145" s="68" t="str">
        <f t="shared" si="11"/>
        <v>cyfanswm / receipts 
COR 1-2, 
column 13</v>
      </c>
    </row>
    <row r="146" spans="2:18">
      <c r="B146" s="170" t="s">
        <v>2083</v>
      </c>
      <c r="C146" s="72"/>
      <c r="D146" s="70" t="s">
        <v>2084</v>
      </c>
      <c r="E146" s="73"/>
      <c r="H146" s="65" t="s">
        <v>942</v>
      </c>
      <c r="I146" s="65" t="s">
        <v>943</v>
      </c>
      <c r="M146" s="65" t="str">
        <f t="shared" si="8"/>
        <v/>
      </c>
      <c r="N146" s="65" t="str">
        <f t="shared" si="9"/>
        <v/>
      </c>
      <c r="O146" s="65" t="s">
        <v>771</v>
      </c>
      <c r="P146" s="65" t="s">
        <v>944</v>
      </c>
      <c r="Q146" s="65" t="str">
        <f t="shared" si="10"/>
        <v/>
      </c>
      <c r="R146" s="68" t="str">
        <f t="shared" si="11"/>
        <v>Disposal of share or loan capital</v>
      </c>
    </row>
    <row r="147" spans="2:18">
      <c r="B147" s="170" t="s">
        <v>2085</v>
      </c>
      <c r="C147" s="72"/>
      <c r="D147" s="70" t="s">
        <v>2086</v>
      </c>
      <c r="E147" s="73"/>
      <c r="H147" s="65" t="s">
        <v>947</v>
      </c>
      <c r="I147" s="65" t="s">
        <v>948</v>
      </c>
      <c r="M147" s="65" t="str">
        <f t="shared" si="8"/>
        <v/>
      </c>
      <c r="N147" s="65" t="str">
        <f t="shared" si="9"/>
        <v/>
      </c>
      <c r="O147" s="65" t="s">
        <v>949</v>
      </c>
      <c r="P147" s="65" t="s">
        <v>3451</v>
      </c>
      <c r="Q147" s="65" t="str">
        <f t="shared" si="10"/>
        <v/>
      </c>
      <c r="R147" s="68" t="str">
        <f t="shared" si="11"/>
        <v>cyfanswm / capital receipts</v>
      </c>
    </row>
    <row r="148" spans="2:18">
      <c r="B148" s="170" t="s">
        <v>2087</v>
      </c>
      <c r="C148" s="72"/>
      <c r="D148" s="70" t="s">
        <v>2088</v>
      </c>
      <c r="E148" s="73"/>
      <c r="H148" s="65" t="s">
        <v>952</v>
      </c>
      <c r="I148" s="65" t="s">
        <v>953</v>
      </c>
      <c r="M148" s="65" t="str">
        <f t="shared" si="8"/>
        <v/>
      </c>
      <c r="N148" s="65" t="str">
        <f t="shared" si="9"/>
        <v/>
      </c>
      <c r="Q148" s="65" t="str">
        <f t="shared" si="10"/>
        <v/>
      </c>
      <c r="R148" s="68" t="str">
        <f t="shared" si="11"/>
        <v/>
      </c>
    </row>
    <row r="149" spans="2:18">
      <c r="B149" s="170" t="s">
        <v>2089</v>
      </c>
      <c r="C149" s="72"/>
      <c r="D149" s="70" t="s">
        <v>2090</v>
      </c>
      <c r="E149" s="73"/>
      <c r="H149" s="65" t="s">
        <v>956</v>
      </c>
      <c r="I149" s="65" t="s">
        <v>957</v>
      </c>
      <c r="M149" s="65" t="str">
        <f t="shared" si="8"/>
        <v/>
      </c>
      <c r="N149" s="65" t="str">
        <f t="shared" si="9"/>
        <v/>
      </c>
      <c r="O149" s="64" t="s">
        <v>958</v>
      </c>
      <c r="Q149" s="65" t="str">
        <f t="shared" si="10"/>
        <v/>
      </c>
      <c r="R149" s="68" t="str">
        <f t="shared" si="11"/>
        <v/>
      </c>
    </row>
    <row r="150" spans="2:18">
      <c r="B150" s="170" t="s">
        <v>2093</v>
      </c>
      <c r="C150" s="72"/>
      <c r="D150" s="70" t="s">
        <v>2094</v>
      </c>
      <c r="E150" s="73"/>
      <c r="H150" s="65" t="s">
        <v>961</v>
      </c>
      <c r="I150" s="65" t="s">
        <v>962</v>
      </c>
      <c r="M150" s="65" t="str">
        <f t="shared" si="8"/>
        <v/>
      </c>
      <c r="N150" s="65" t="str">
        <f t="shared" si="9"/>
        <v/>
      </c>
      <c r="P150" s="65" t="s">
        <v>963</v>
      </c>
      <c r="Q150" s="65" t="str">
        <f t="shared" si="10"/>
        <v/>
      </c>
      <c r="R150" s="68" t="str">
        <f t="shared" si="11"/>
        <v>COR 4: Capital outturn 4</v>
      </c>
    </row>
    <row r="151" spans="2:18">
      <c r="B151" s="170" t="s">
        <v>2105</v>
      </c>
      <c r="C151" s="72"/>
      <c r="D151" s="70" t="s">
        <v>2106</v>
      </c>
      <c r="E151" s="73"/>
      <c r="H151" s="65" t="s">
        <v>830</v>
      </c>
      <c r="I151" s="65" t="s">
        <v>831</v>
      </c>
      <c r="M151" s="65" t="str">
        <f t="shared" si="8"/>
        <v/>
      </c>
      <c r="N151" s="65" t="str">
        <f t="shared" si="9"/>
        <v/>
      </c>
      <c r="P151" s="65" t="s">
        <v>838</v>
      </c>
      <c r="Q151" s="65" t="str">
        <f t="shared" si="10"/>
        <v/>
      </c>
      <c r="R151" s="68" t="str">
        <f t="shared" si="11"/>
        <v>Financing of capital expenditure and capital account summary, 2014-15</v>
      </c>
    </row>
    <row r="152" spans="2:18">
      <c r="B152" s="170" t="s">
        <v>2111</v>
      </c>
      <c r="C152" s="72"/>
      <c r="D152" s="70" t="s">
        <v>2112</v>
      </c>
      <c r="E152" s="73"/>
      <c r="H152" s="65" t="s">
        <v>968</v>
      </c>
      <c r="I152" s="65" t="s">
        <v>969</v>
      </c>
      <c r="M152" s="65" t="str">
        <f t="shared" si="8"/>
        <v/>
      </c>
      <c r="N152" s="65" t="str">
        <f t="shared" si="9"/>
        <v/>
      </c>
      <c r="P152" s="65" t="s">
        <v>970</v>
      </c>
      <c r="Q152" s="65" t="str">
        <f t="shared" si="10"/>
        <v/>
      </c>
      <c r="R152" s="68" t="str">
        <f t="shared" si="11"/>
        <v>cyfanswm capital expenditure and receipts:</v>
      </c>
    </row>
    <row r="153" spans="2:18">
      <c r="B153" s="170" t="s">
        <v>2119</v>
      </c>
      <c r="C153" s="72"/>
      <c r="D153" s="70" t="s">
        <v>2120</v>
      </c>
      <c r="E153" s="73"/>
      <c r="H153" s="65" t="s">
        <v>973</v>
      </c>
      <c r="I153" s="65" t="s">
        <v>974</v>
      </c>
      <c r="M153" s="65" t="str">
        <f t="shared" si="8"/>
        <v/>
      </c>
      <c r="N153" s="65" t="str">
        <f t="shared" si="9"/>
        <v/>
      </c>
      <c r="O153" s="65">
        <v>19</v>
      </c>
      <c r="P153" s="65" t="s">
        <v>975</v>
      </c>
      <c r="Q153" s="65" t="str">
        <f>IF(ISERROR(FIND(" (line",P153)),"",RIGHT(P153,LEN(P153)-FIND(" (line",P153)))</f>
        <v/>
      </c>
      <c r="R153" s="68" t="str">
        <f t="shared" si="11"/>
        <v>cyfanswm capital expenditure (COR4, line 15, column 3)</v>
      </c>
    </row>
    <row r="154" spans="2:18">
      <c r="B154" s="170" t="s">
        <v>2121</v>
      </c>
      <c r="C154" s="72"/>
      <c r="D154" s="70" t="s">
        <v>2122</v>
      </c>
      <c r="E154" s="73"/>
      <c r="H154" s="65" t="s">
        <v>978</v>
      </c>
      <c r="I154" s="65" t="s">
        <v>979</v>
      </c>
      <c r="M154" s="65" t="str">
        <f t="shared" si="8"/>
        <v/>
      </c>
      <c r="N154" s="65" t="str">
        <f t="shared" si="9"/>
        <v/>
      </c>
      <c r="P154" s="65" t="s">
        <v>980</v>
      </c>
      <c r="Q154" s="65" t="str">
        <f t="shared" ref="Q154:Q217" si="12">IF(ISERROR(FIND(" (line",P154)),"",RIGHT(P154,LEN(P154)-FIND(" (line",P154)))</f>
        <v/>
      </c>
      <c r="R154" s="68" t="str">
        <f t="shared" si="11"/>
        <v>Resources to be used to finance capital expenditure:</v>
      </c>
    </row>
    <row r="155" spans="2:18">
      <c r="B155" s="170" t="s">
        <v>2131</v>
      </c>
      <c r="C155" s="72"/>
      <c r="D155" s="70" t="s">
        <v>2132</v>
      </c>
      <c r="E155" s="73"/>
      <c r="H155" s="65" t="s">
        <v>983</v>
      </c>
      <c r="I155" s="65" t="s">
        <v>984</v>
      </c>
      <c r="M155" s="65" t="str">
        <f t="shared" si="8"/>
        <v/>
      </c>
      <c r="N155" s="65" t="str">
        <f t="shared" si="9"/>
        <v/>
      </c>
      <c r="O155" s="65">
        <v>23</v>
      </c>
      <c r="P155" s="65" t="s">
        <v>985</v>
      </c>
      <c r="Q155" s="65" t="str">
        <f t="shared" si="12"/>
        <v/>
      </c>
      <c r="R155" s="68" t="str">
        <f t="shared" si="11"/>
        <v>Capital grants from the Welsh Government and other UK Government Departments</v>
      </c>
    </row>
    <row r="156" spans="2:18">
      <c r="B156" s="170" t="s">
        <v>2135</v>
      </c>
      <c r="C156" s="72"/>
      <c r="D156" s="70" t="s">
        <v>2136</v>
      </c>
      <c r="E156" s="73"/>
      <c r="H156" s="65" t="s">
        <v>988</v>
      </c>
      <c r="I156" s="65" t="s">
        <v>989</v>
      </c>
      <c r="M156" s="65" t="str">
        <f t="shared" si="8"/>
        <v/>
      </c>
      <c r="N156" s="65" t="str">
        <f t="shared" si="9"/>
        <v/>
      </c>
      <c r="O156" s="65">
        <v>24</v>
      </c>
      <c r="P156" s="65" t="s">
        <v>990</v>
      </c>
      <c r="Q156" s="65" t="str">
        <f t="shared" si="12"/>
        <v/>
      </c>
      <c r="R156" s="68" t="str">
        <f t="shared" si="11"/>
        <v>Grants from European Community Structural Funds (including ERDF)</v>
      </c>
    </row>
    <row r="157" spans="2:18">
      <c r="B157" s="170" t="s">
        <v>2137</v>
      </c>
      <c r="C157" s="72"/>
      <c r="D157" s="70" t="s">
        <v>2138</v>
      </c>
      <c r="E157" s="73"/>
      <c r="H157" s="65" t="s">
        <v>993</v>
      </c>
      <c r="I157" s="65" t="s">
        <v>994</v>
      </c>
      <c r="M157" s="65" t="str">
        <f t="shared" si="8"/>
        <v/>
      </c>
      <c r="N157" s="65" t="str">
        <f t="shared" si="9"/>
        <v/>
      </c>
      <c r="O157" s="65">
        <v>50</v>
      </c>
      <c r="P157" s="65" t="s">
        <v>995</v>
      </c>
      <c r="Q157" s="65" t="str">
        <f t="shared" si="12"/>
        <v/>
      </c>
      <c r="R157" s="68" t="str">
        <f t="shared" si="11"/>
        <v>Grants and contributions from Welsh Government sponsored public bodies / non-departmental public bodies</v>
      </c>
    </row>
    <row r="158" spans="2:18">
      <c r="B158" s="170" t="s">
        <v>2139</v>
      </c>
      <c r="C158" s="72"/>
      <c r="D158" s="70" t="s">
        <v>2140</v>
      </c>
      <c r="E158" s="73"/>
      <c r="H158" s="65" t="s">
        <v>998</v>
      </c>
      <c r="I158" s="65" t="s">
        <v>999</v>
      </c>
      <c r="M158" s="65" t="str">
        <f t="shared" si="8"/>
        <v/>
      </c>
      <c r="N158" s="65" t="str">
        <f t="shared" si="9"/>
        <v/>
      </c>
      <c r="O158" s="65">
        <v>51</v>
      </c>
      <c r="P158" s="65" t="s">
        <v>1000</v>
      </c>
      <c r="Q158" s="65" t="str">
        <f t="shared" si="12"/>
        <v/>
      </c>
      <c r="R158" s="68" t="str">
        <f t="shared" si="11"/>
        <v>Funding from National Lottery</v>
      </c>
    </row>
    <row r="159" spans="2:18">
      <c r="B159" s="170" t="s">
        <v>2153</v>
      </c>
      <c r="C159" s="72"/>
      <c r="D159" s="70" t="s">
        <v>2154</v>
      </c>
      <c r="E159" s="73"/>
      <c r="H159" s="65" t="s">
        <v>1003</v>
      </c>
      <c r="I159" s="65" t="s">
        <v>1004</v>
      </c>
      <c r="M159" s="65" t="str">
        <f t="shared" si="8"/>
        <v/>
      </c>
      <c r="N159" s="65" t="str">
        <f t="shared" si="9"/>
        <v/>
      </c>
      <c r="O159" s="65">
        <v>52</v>
      </c>
      <c r="P159" s="65" t="s">
        <v>1005</v>
      </c>
      <c r="Q159" s="65" t="str">
        <f t="shared" si="12"/>
        <v/>
      </c>
      <c r="R159" s="68" t="str">
        <f t="shared" si="11"/>
        <v>Other grants and contributions including those from private developers</v>
      </c>
    </row>
    <row r="160" spans="2:18">
      <c r="B160" s="170" t="s">
        <v>2155</v>
      </c>
      <c r="C160" s="72"/>
      <c r="D160" s="70" t="s">
        <v>2156</v>
      </c>
      <c r="E160" s="73"/>
      <c r="H160" s="65" t="s">
        <v>1008</v>
      </c>
      <c r="I160" s="65" t="s">
        <v>1009</v>
      </c>
      <c r="M160" s="65" t="str">
        <f t="shared" si="8"/>
        <v/>
      </c>
      <c r="N160" s="65" t="str">
        <f t="shared" si="9"/>
        <v/>
      </c>
      <c r="O160" s="65">
        <v>25</v>
      </c>
      <c r="P160" s="65" t="s">
        <v>1010</v>
      </c>
      <c r="Q160" s="65" t="str">
        <f t="shared" si="12"/>
        <v>(lines 50 to 52)</v>
      </c>
      <c r="R160" s="68" t="str">
        <f t="shared" si="11"/>
        <v xml:space="preserve">Capital grants and contributions from other sources </v>
      </c>
    </row>
    <row r="161" spans="2:18">
      <c r="B161" s="170" t="s">
        <v>2157</v>
      </c>
      <c r="C161" s="72"/>
      <c r="D161" s="77" t="s">
        <v>2158</v>
      </c>
      <c r="E161" s="73"/>
      <c r="H161" s="65" t="s">
        <v>1013</v>
      </c>
      <c r="I161" s="65" t="s">
        <v>1014</v>
      </c>
      <c r="M161" s="65" t="str">
        <f t="shared" si="8"/>
        <v/>
      </c>
      <c r="N161" s="65" t="str">
        <f t="shared" si="9"/>
        <v/>
      </c>
      <c r="O161" s="65">
        <v>26</v>
      </c>
      <c r="P161" s="65" t="s">
        <v>1015</v>
      </c>
      <c r="Q161" s="65" t="str">
        <f t="shared" si="12"/>
        <v/>
      </c>
      <c r="R161" s="68" t="str">
        <f t="shared" si="11"/>
        <v>Use of capital receipts</v>
      </c>
    </row>
    <row r="162" spans="2:18">
      <c r="B162" s="170" t="s">
        <v>2165</v>
      </c>
      <c r="C162" s="72"/>
      <c r="D162" s="70" t="s">
        <v>2166</v>
      </c>
      <c r="E162" s="73"/>
      <c r="H162" s="65" t="s">
        <v>1018</v>
      </c>
      <c r="I162" s="65" t="s">
        <v>1019</v>
      </c>
      <c r="M162" s="65" t="str">
        <f t="shared" si="8"/>
        <v/>
      </c>
      <c r="N162" s="65" t="str">
        <f t="shared" si="9"/>
        <v/>
      </c>
      <c r="O162" s="65">
        <v>27</v>
      </c>
      <c r="P162" s="65" t="s">
        <v>1020</v>
      </c>
      <c r="Q162" s="65" t="str">
        <f t="shared" si="12"/>
        <v/>
      </c>
      <c r="R162" s="68" t="str">
        <f t="shared" si="11"/>
        <v>Major Repairs Allowance (MRA)</v>
      </c>
    </row>
    <row r="163" spans="2:18">
      <c r="B163" s="170" t="s">
        <v>2187</v>
      </c>
      <c r="C163" s="72"/>
      <c r="D163" s="70" t="s">
        <v>2188</v>
      </c>
      <c r="E163" s="73"/>
      <c r="H163" s="65" t="s">
        <v>1023</v>
      </c>
      <c r="I163" s="65" t="s">
        <v>1024</v>
      </c>
      <c r="M163" s="65" t="str">
        <f t="shared" si="8"/>
        <v/>
      </c>
      <c r="N163" s="65" t="str">
        <f t="shared" si="9"/>
        <v/>
      </c>
      <c r="O163" s="65">
        <v>28</v>
      </c>
      <c r="P163" s="65" t="s">
        <v>1025</v>
      </c>
      <c r="Q163" s="65" t="str">
        <f t="shared" si="12"/>
        <v/>
      </c>
      <c r="R163" s="68" t="str">
        <f t="shared" si="11"/>
        <v>Capital expenditure charged to a revenue account (non-HRA)</v>
      </c>
    </row>
    <row r="164" spans="2:18">
      <c r="B164" s="170" t="s">
        <v>2200</v>
      </c>
      <c r="C164" s="72"/>
      <c r="D164" s="70" t="s">
        <v>2201</v>
      </c>
      <c r="E164" s="73"/>
      <c r="H164" s="65" t="s">
        <v>1028</v>
      </c>
      <c r="I164" s="65" t="s">
        <v>1029</v>
      </c>
      <c r="M164" s="65" t="str">
        <f t="shared" si="8"/>
        <v/>
      </c>
      <c r="N164" s="65" t="str">
        <f t="shared" si="9"/>
        <v/>
      </c>
      <c r="O164" s="65">
        <v>29</v>
      </c>
      <c r="P164" s="65" t="s">
        <v>1030</v>
      </c>
      <c r="Q164" s="65" t="str">
        <f t="shared" si="12"/>
        <v/>
      </c>
      <c r="R164" s="68" t="str">
        <f t="shared" si="11"/>
        <v>Capital expenditure charged to a revenue account (HRA)</v>
      </c>
    </row>
    <row r="165" spans="2:18">
      <c r="B165" s="170" t="s">
        <v>2206</v>
      </c>
      <c r="C165" s="72"/>
      <c r="D165" s="70" t="s">
        <v>2207</v>
      </c>
      <c r="E165" s="73"/>
      <c r="H165" s="65" t="s">
        <v>1033</v>
      </c>
      <c r="I165" s="65" t="s">
        <v>1034</v>
      </c>
      <c r="M165" s="65" t="str">
        <f t="shared" si="8"/>
        <v/>
      </c>
      <c r="N165" s="65" t="str">
        <f t="shared" si="9"/>
        <v/>
      </c>
      <c r="O165" s="65">
        <v>30.1</v>
      </c>
      <c r="P165" s="65" t="s">
        <v>1035</v>
      </c>
      <c r="Q165" s="65" t="str">
        <f t="shared" si="12"/>
        <v/>
      </c>
      <c r="R165" s="68" t="str">
        <f t="shared" si="11"/>
        <v>Borrowing and credit arrangements that attract central government support (non-HRA)</v>
      </c>
    </row>
    <row r="166" spans="2:18">
      <c r="B166" s="170" t="s">
        <v>2209</v>
      </c>
      <c r="C166" s="72"/>
      <c r="D166" s="70" t="s">
        <v>2210</v>
      </c>
      <c r="E166" s="73"/>
      <c r="H166" s="65" t="s">
        <v>1038</v>
      </c>
      <c r="I166" s="65" t="s">
        <v>1039</v>
      </c>
      <c r="M166" s="65" t="str">
        <f t="shared" si="8"/>
        <v/>
      </c>
      <c r="N166" s="65" t="str">
        <f t="shared" si="9"/>
        <v/>
      </c>
      <c r="O166" s="65">
        <v>30.2</v>
      </c>
      <c r="P166" s="65" t="s">
        <v>1040</v>
      </c>
      <c r="Q166" s="65" t="str">
        <f t="shared" si="12"/>
        <v/>
      </c>
      <c r="R166" s="68" t="str">
        <f t="shared" si="11"/>
        <v>Borrowing and credit arrangements that attract central government support (HRA)</v>
      </c>
    </row>
    <row r="167" spans="2:18">
      <c r="B167" s="170" t="s">
        <v>2218</v>
      </c>
      <c r="C167" s="72"/>
      <c r="D167" s="70" t="s">
        <v>2219</v>
      </c>
      <c r="E167" s="73"/>
      <c r="H167" s="65" t="s">
        <v>1043</v>
      </c>
      <c r="I167" s="65" t="s">
        <v>1044</v>
      </c>
      <c r="M167" s="65" t="str">
        <f t="shared" si="8"/>
        <v/>
      </c>
      <c r="N167" s="65" t="str">
        <f t="shared" si="9"/>
        <v/>
      </c>
      <c r="O167" s="65">
        <v>30</v>
      </c>
      <c r="P167" s="65" t="s">
        <v>1045</v>
      </c>
      <c r="Q167" s="65" t="str">
        <f t="shared" si="12"/>
        <v/>
      </c>
      <c r="R167" s="68" t="str">
        <f t="shared" si="11"/>
        <v>Borrowing and credit arrangements that attract central government support (Lines 30.1 and 30.2)</v>
      </c>
    </row>
    <row r="168" spans="2:18">
      <c r="B168" s="170" t="s">
        <v>2220</v>
      </c>
      <c r="C168" s="72"/>
      <c r="D168" s="70" t="s">
        <v>2221</v>
      </c>
      <c r="E168" s="73"/>
      <c r="H168" s="65" t="s">
        <v>1048</v>
      </c>
      <c r="I168" s="65" t="s">
        <v>1049</v>
      </c>
      <c r="M168" s="65" t="str">
        <f t="shared" si="8"/>
        <v/>
      </c>
      <c r="N168" s="65" t="str">
        <f t="shared" si="9"/>
        <v/>
      </c>
      <c r="O168" s="65">
        <v>31.1</v>
      </c>
      <c r="P168" s="65" t="s">
        <v>1050</v>
      </c>
      <c r="Q168" s="65" t="str">
        <f t="shared" si="12"/>
        <v/>
      </c>
      <c r="R168" s="68" t="str">
        <f t="shared" si="11"/>
        <v>Other borrowing and credit arrangements (non-HRA)</v>
      </c>
    </row>
    <row r="169" spans="2:18">
      <c r="B169" s="170" t="s">
        <v>2246</v>
      </c>
      <c r="C169" s="72"/>
      <c r="D169" s="70" t="s">
        <v>2247</v>
      </c>
      <c r="E169" s="73"/>
      <c r="H169" s="65" t="s">
        <v>1053</v>
      </c>
      <c r="I169" s="65" t="s">
        <v>1054</v>
      </c>
      <c r="M169" s="65" t="str">
        <f t="shared" si="8"/>
        <v/>
      </c>
      <c r="N169" s="65" t="str">
        <f t="shared" si="9"/>
        <v/>
      </c>
      <c r="O169" s="65">
        <v>31.2</v>
      </c>
      <c r="P169" s="65" t="s">
        <v>1055</v>
      </c>
      <c r="Q169" s="65" t="str">
        <f t="shared" si="12"/>
        <v/>
      </c>
      <c r="R169" s="68" t="str">
        <f t="shared" si="11"/>
        <v>Other borrowing and credit arrangements (HRA)</v>
      </c>
    </row>
    <row r="170" spans="2:18">
      <c r="B170" s="170" t="s">
        <v>2250</v>
      </c>
      <c r="C170" s="72"/>
      <c r="D170" s="70" t="s">
        <v>2251</v>
      </c>
      <c r="E170" s="73"/>
      <c r="M170" s="65" t="str">
        <f t="shared" si="8"/>
        <v/>
      </c>
      <c r="N170" s="65" t="str">
        <f t="shared" si="9"/>
        <v/>
      </c>
      <c r="O170" s="65">
        <v>31</v>
      </c>
      <c r="P170" s="65" t="s">
        <v>1058</v>
      </c>
      <c r="Q170" s="65" t="str">
        <f t="shared" si="12"/>
        <v/>
      </c>
      <c r="R170" s="68" t="str">
        <f t="shared" si="11"/>
        <v>Other borrowing and credit arrangements (Lines 31.1 and 31.2)</v>
      </c>
    </row>
    <row r="171" spans="2:18">
      <c r="B171" s="170" t="s">
        <v>2252</v>
      </c>
      <c r="C171" s="72"/>
      <c r="D171" s="70" t="s">
        <v>2253</v>
      </c>
      <c r="E171" s="73"/>
      <c r="M171" s="65" t="str">
        <f t="shared" si="8"/>
        <v/>
      </c>
      <c r="N171" s="65" t="str">
        <f t="shared" si="9"/>
        <v/>
      </c>
      <c r="O171" s="65">
        <v>32</v>
      </c>
      <c r="P171" s="65" t="s">
        <v>1061</v>
      </c>
      <c r="Q171" s="65" t="str">
        <f t="shared" si="12"/>
        <v/>
      </c>
      <c r="R171" s="68" t="str">
        <f t="shared" si="11"/>
        <v>cyfanswm resources used to finance capital expenditure (the sum of the figures in the white cells above)</v>
      </c>
    </row>
    <row r="172" spans="2:18">
      <c r="B172" s="170" t="s">
        <v>2254</v>
      </c>
      <c r="C172" s="72"/>
      <c r="D172" s="70" t="s">
        <v>2255</v>
      </c>
      <c r="E172" s="73"/>
      <c r="M172" s="65" t="str">
        <f t="shared" si="8"/>
        <v/>
      </c>
      <c r="N172" s="65" t="str">
        <f t="shared" si="9"/>
        <v/>
      </c>
      <c r="P172" s="65" t="s">
        <v>1064</v>
      </c>
      <c r="Q172" s="65" t="str">
        <f t="shared" si="12"/>
        <v/>
      </c>
      <c r="R172" s="68" t="str">
        <f t="shared" si="11"/>
        <v>PLEASE COMPLETE THE LINES BELOW ON A PFI ON-BALANCE SHEET BASIS</v>
      </c>
    </row>
    <row r="173" spans="2:18">
      <c r="B173" s="170" t="s">
        <v>2264</v>
      </c>
      <c r="C173" s="72"/>
      <c r="D173" s="70" t="s">
        <v>2265</v>
      </c>
      <c r="E173" s="73"/>
      <c r="M173" s="65" t="str">
        <f t="shared" si="8"/>
        <v/>
      </c>
      <c r="N173" s="65" t="str">
        <f t="shared" si="9"/>
        <v/>
      </c>
      <c r="P173" s="65" t="s">
        <v>1067</v>
      </c>
      <c r="Q173" s="65" t="str">
        <f t="shared" si="12"/>
        <v/>
      </c>
      <c r="R173" s="68" t="str">
        <f t="shared" si="11"/>
        <v>Capital financing requirement:</v>
      </c>
    </row>
    <row r="174" spans="2:18">
      <c r="B174" s="170" t="s">
        <v>2274</v>
      </c>
      <c r="C174" s="72"/>
      <c r="D174" s="70" t="s">
        <v>2275</v>
      </c>
      <c r="E174" s="73"/>
      <c r="M174" s="65" t="str">
        <f t="shared" si="8"/>
        <v/>
      </c>
      <c r="N174" s="65" t="str">
        <f t="shared" si="9"/>
        <v/>
      </c>
      <c r="O174" s="65">
        <v>33</v>
      </c>
      <c r="P174" s="65" t="s">
        <v>1070</v>
      </c>
      <c r="Q174" s="65" t="str">
        <f t="shared" si="12"/>
        <v/>
      </c>
      <c r="R174" s="68" t="str">
        <f t="shared" si="11"/>
        <v>Capital Financing Requirement as at 1 April</v>
      </c>
    </row>
    <row r="175" spans="2:18">
      <c r="B175" s="170" t="s">
        <v>2276</v>
      </c>
      <c r="C175" s="72"/>
      <c r="D175" s="70" t="s">
        <v>2277</v>
      </c>
      <c r="E175" s="73"/>
      <c r="M175" s="65" t="str">
        <f t="shared" si="8"/>
        <v/>
      </c>
      <c r="N175" s="65" t="str">
        <f t="shared" si="9"/>
        <v/>
      </c>
      <c r="O175" s="65">
        <v>34</v>
      </c>
      <c r="P175" s="65" t="s">
        <v>1073</v>
      </c>
      <c r="Q175" s="65" t="str">
        <f t="shared" si="12"/>
        <v>(line 30 plus line 31)</v>
      </c>
      <c r="R175" s="68" t="str">
        <f t="shared" si="11"/>
        <v xml:space="preserve">Capital expenditure resourced by means of credit </v>
      </c>
    </row>
    <row r="176" spans="2:18">
      <c r="B176" s="170" t="s">
        <v>2278</v>
      </c>
      <c r="C176" s="72"/>
      <c r="D176" s="70" t="s">
        <v>2279</v>
      </c>
      <c r="E176" s="73"/>
      <c r="M176" s="65" t="str">
        <f t="shared" si="8"/>
        <v/>
      </c>
      <c r="N176" s="65" t="str">
        <f t="shared" si="9"/>
        <v/>
      </c>
      <c r="O176" s="65">
        <v>35</v>
      </c>
      <c r="P176" s="65" t="s">
        <v>1076</v>
      </c>
      <c r="Q176" s="65" t="str">
        <f t="shared" si="12"/>
        <v/>
      </c>
      <c r="R176" s="68" t="str">
        <f t="shared" si="11"/>
        <v>Minimum Revenue Provision &amp; voluntary contributions</v>
      </c>
    </row>
    <row r="177" spans="2:18">
      <c r="B177" s="170" t="s">
        <v>2280</v>
      </c>
      <c r="C177" s="72"/>
      <c r="D177" s="70" t="s">
        <v>2281</v>
      </c>
      <c r="E177" s="73"/>
      <c r="M177" s="65" t="str">
        <f t="shared" si="8"/>
        <v/>
      </c>
      <c r="N177" s="65" t="str">
        <f t="shared" si="9"/>
        <v/>
      </c>
      <c r="O177" s="65">
        <v>36</v>
      </c>
      <c r="P177" s="65" t="s">
        <v>1079</v>
      </c>
      <c r="Q177" s="65" t="str">
        <f t="shared" si="12"/>
        <v>(line 34 less line 35)</v>
      </c>
      <c r="R177" s="68" t="str">
        <f t="shared" si="11"/>
        <v xml:space="preserve">Change in Capital Financing Requirement </v>
      </c>
    </row>
    <row r="178" spans="2:18">
      <c r="B178" s="170" t="s">
        <v>2286</v>
      </c>
      <c r="C178" s="72"/>
      <c r="D178" s="70" t="s">
        <v>2286</v>
      </c>
      <c r="E178" s="73"/>
      <c r="M178" s="65" t="str">
        <f t="shared" si="8"/>
        <v/>
      </c>
      <c r="N178" s="65" t="str">
        <f t="shared" si="9"/>
        <v/>
      </c>
      <c r="O178" s="65">
        <v>37</v>
      </c>
      <c r="P178" s="65" t="s">
        <v>1082</v>
      </c>
      <c r="Q178" s="65" t="str">
        <f t="shared" si="12"/>
        <v>(line 33 plus line 36)</v>
      </c>
      <c r="R178" s="68" t="str">
        <f t="shared" si="11"/>
        <v xml:space="preserve">Capital Financing Requirement as at 31 March </v>
      </c>
    </row>
    <row r="179" spans="2:18">
      <c r="B179" s="170" t="s">
        <v>2293</v>
      </c>
      <c r="C179" s="72"/>
      <c r="D179" s="70" t="s">
        <v>2294</v>
      </c>
      <c r="E179" s="73"/>
      <c r="M179" s="65" t="str">
        <f t="shared" si="8"/>
        <v/>
      </c>
      <c r="N179" s="65" t="str">
        <f t="shared" si="9"/>
        <v/>
      </c>
      <c r="P179" s="65" t="s">
        <v>1085</v>
      </c>
      <c r="Q179" s="65" t="str">
        <f t="shared" si="12"/>
        <v/>
      </c>
      <c r="R179" s="68" t="str">
        <f t="shared" si="11"/>
        <v>Borrowing, credit and investments at start of year:</v>
      </c>
    </row>
    <row r="180" spans="2:18">
      <c r="B180" s="170" t="s">
        <v>2295</v>
      </c>
      <c r="C180" s="72"/>
      <c r="D180" s="70" t="s">
        <v>2296</v>
      </c>
      <c r="E180" s="73"/>
      <c r="M180" s="65" t="str">
        <f t="shared" si="8"/>
        <v/>
      </c>
      <c r="N180" s="65" t="str">
        <f t="shared" si="9"/>
        <v/>
      </c>
      <c r="O180" s="65">
        <v>38</v>
      </c>
      <c r="P180" s="65" t="s">
        <v>1088</v>
      </c>
      <c r="Q180" s="65" t="str">
        <f t="shared" si="12"/>
        <v/>
      </c>
      <c r="R180" s="68" t="str">
        <f t="shared" si="11"/>
        <v>Gross borrowing as at start of year</v>
      </c>
    </row>
    <row r="181" spans="2:18">
      <c r="B181" s="170" t="s">
        <v>2297</v>
      </c>
      <c r="C181" s="72"/>
      <c r="D181" s="70" t="s">
        <v>2298</v>
      </c>
      <c r="E181" s="73"/>
      <c r="M181" s="65" t="str">
        <f t="shared" si="8"/>
        <v/>
      </c>
      <c r="N181" s="65" t="str">
        <f t="shared" si="9"/>
        <v/>
      </c>
      <c r="O181" s="65">
        <v>39</v>
      </c>
      <c r="P181" s="65" t="s">
        <v>1091</v>
      </c>
      <c r="Q181" s="65" t="str">
        <f t="shared" si="12"/>
        <v/>
      </c>
      <c r="R181" s="68" t="str">
        <f t="shared" si="11"/>
        <v>Other long-term liabilities as at start of year</v>
      </c>
    </row>
    <row r="182" spans="2:18">
      <c r="B182" s="170" t="s">
        <v>2301</v>
      </c>
      <c r="C182" s="72"/>
      <c r="D182" s="70" t="s">
        <v>2302</v>
      </c>
      <c r="E182" s="73"/>
      <c r="M182" s="65" t="str">
        <f t="shared" si="8"/>
        <v/>
      </c>
      <c r="N182" s="65" t="str">
        <f t="shared" si="9"/>
        <v/>
      </c>
      <c r="O182" s="65">
        <v>40</v>
      </c>
      <c r="P182" s="65" t="s">
        <v>1094</v>
      </c>
      <c r="Q182" s="65" t="str">
        <f t="shared" si="12"/>
        <v/>
      </c>
      <c r="R182" s="68" t="str">
        <f t="shared" si="11"/>
        <v>Investments as at start of year</v>
      </c>
    </row>
    <row r="183" spans="2:18">
      <c r="B183" s="170" t="s">
        <v>579</v>
      </c>
      <c r="C183" s="72"/>
      <c r="D183" s="70" t="s">
        <v>2310</v>
      </c>
      <c r="E183" s="73"/>
      <c r="M183" s="65" t="str">
        <f t="shared" si="8"/>
        <v/>
      </c>
      <c r="N183" s="65" t="str">
        <f t="shared" si="9"/>
        <v/>
      </c>
      <c r="P183" s="65" t="s">
        <v>1097</v>
      </c>
      <c r="Q183" s="65" t="str">
        <f t="shared" si="12"/>
        <v/>
      </c>
      <c r="R183" s="68" t="str">
        <f t="shared" si="11"/>
        <v>Borrowing, credit and investments at end of year:</v>
      </c>
    </row>
    <row r="184" spans="2:18">
      <c r="B184" s="170" t="s">
        <v>2311</v>
      </c>
      <c r="C184" s="72"/>
      <c r="D184" s="70" t="s">
        <v>2312</v>
      </c>
      <c r="E184" s="73"/>
      <c r="M184" s="65" t="str">
        <f t="shared" si="8"/>
        <v/>
      </c>
      <c r="N184" s="65" t="str">
        <f t="shared" si="9"/>
        <v/>
      </c>
      <c r="O184" s="65">
        <v>41</v>
      </c>
      <c r="P184" s="65" t="s">
        <v>1100</v>
      </c>
      <c r="Q184" s="65" t="str">
        <f t="shared" si="12"/>
        <v/>
      </c>
      <c r="R184" s="68" t="str">
        <f t="shared" si="11"/>
        <v>Gross borrowing as at year end</v>
      </c>
    </row>
    <row r="185" spans="2:18">
      <c r="B185" s="170" t="s">
        <v>2313</v>
      </c>
      <c r="C185" s="72"/>
      <c r="D185" s="70" t="s">
        <v>2314</v>
      </c>
      <c r="E185" s="73"/>
      <c r="M185" s="65" t="str">
        <f t="shared" si="8"/>
        <v/>
      </c>
      <c r="N185" s="65" t="str">
        <f t="shared" si="9"/>
        <v/>
      </c>
      <c r="O185" s="65">
        <v>42</v>
      </c>
      <c r="P185" s="65" t="s">
        <v>1103</v>
      </c>
      <c r="Q185" s="65" t="str">
        <f t="shared" si="12"/>
        <v/>
      </c>
      <c r="R185" s="68" t="str">
        <f t="shared" si="11"/>
        <v>Other long-term liabilities as at year end</v>
      </c>
    </row>
    <row r="186" spans="2:18">
      <c r="B186" s="170" t="s">
        <v>2331</v>
      </c>
      <c r="C186" s="72"/>
      <c r="D186" s="70" t="s">
        <v>2332</v>
      </c>
      <c r="E186" s="73"/>
      <c r="M186" s="65" t="str">
        <f t="shared" si="8"/>
        <v/>
      </c>
      <c r="N186" s="65" t="str">
        <f t="shared" si="9"/>
        <v/>
      </c>
      <c r="O186" s="65">
        <v>43</v>
      </c>
      <c r="P186" s="65" t="s">
        <v>1106</v>
      </c>
      <c r="Q186" s="65" t="str">
        <f t="shared" si="12"/>
        <v/>
      </c>
      <c r="R186" s="68" t="str">
        <f t="shared" si="11"/>
        <v>Investments as at year end</v>
      </c>
    </row>
    <row r="187" spans="2:18">
      <c r="B187" s="170" t="s">
        <v>2341</v>
      </c>
      <c r="C187" s="72"/>
      <c r="D187" s="70" t="s">
        <v>2342</v>
      </c>
      <c r="E187" s="73"/>
      <c r="M187" s="65" t="str">
        <f t="shared" si="8"/>
        <v/>
      </c>
      <c r="N187" s="65" t="str">
        <f t="shared" si="9"/>
        <v/>
      </c>
      <c r="P187" s="65" t="s">
        <v>1109</v>
      </c>
      <c r="Q187" s="65" t="str">
        <f t="shared" si="12"/>
        <v/>
      </c>
      <c r="R187" s="68" t="str">
        <f t="shared" si="11"/>
        <v>Operational boundary and authorised limit:</v>
      </c>
    </row>
    <row r="188" spans="2:18">
      <c r="B188" s="170" t="s">
        <v>2343</v>
      </c>
      <c r="C188" s="72"/>
      <c r="D188" s="70" t="s">
        <v>1308</v>
      </c>
      <c r="E188" s="73"/>
      <c r="M188" s="65" t="str">
        <f t="shared" si="8"/>
        <v/>
      </c>
      <c r="N188" s="65" t="str">
        <f t="shared" si="9"/>
        <v/>
      </c>
      <c r="O188" s="65">
        <v>44</v>
      </c>
      <c r="P188" s="65" t="s">
        <v>1111</v>
      </c>
      <c r="Q188" s="65" t="str">
        <f t="shared" si="12"/>
        <v/>
      </c>
      <c r="R188" s="68" t="str">
        <f t="shared" si="11"/>
        <v>Operational boundary for external debt as at start of year</v>
      </c>
    </row>
    <row r="189" spans="2:18">
      <c r="B189" s="170" t="s">
        <v>2352</v>
      </c>
      <c r="C189" s="72"/>
      <c r="D189" s="70" t="s">
        <v>2353</v>
      </c>
      <c r="E189" s="73"/>
      <c r="M189" s="65" t="str">
        <f t="shared" si="8"/>
        <v/>
      </c>
      <c r="N189" s="65" t="str">
        <f t="shared" si="9"/>
        <v/>
      </c>
      <c r="O189" s="65">
        <v>45</v>
      </c>
      <c r="P189" s="65" t="s">
        <v>1112</v>
      </c>
      <c r="Q189" s="65" t="str">
        <f t="shared" si="12"/>
        <v/>
      </c>
      <c r="R189" s="68" t="str">
        <f t="shared" si="11"/>
        <v>Authorised limit for external debt as at start of year</v>
      </c>
    </row>
    <row r="190" spans="2:18">
      <c r="B190" s="170" t="s">
        <v>2358</v>
      </c>
      <c r="C190" s="72"/>
      <c r="D190" s="70" t="s">
        <v>2359</v>
      </c>
      <c r="E190" s="73"/>
      <c r="M190" s="65" t="str">
        <f t="shared" si="8"/>
        <v/>
      </c>
      <c r="N190" s="65" t="str">
        <f t="shared" si="9"/>
        <v/>
      </c>
      <c r="O190" s="65">
        <v>46</v>
      </c>
      <c r="P190" s="65" t="s">
        <v>1113</v>
      </c>
      <c r="Q190" s="65" t="str">
        <f t="shared" si="12"/>
        <v/>
      </c>
      <c r="R190" s="68" t="str">
        <f t="shared" si="11"/>
        <v>Operational boundary for external debt as at year end</v>
      </c>
    </row>
    <row r="191" spans="2:18">
      <c r="B191" s="170" t="s">
        <v>2360</v>
      </c>
      <c r="C191" s="72"/>
      <c r="D191" s="70" t="s">
        <v>2359</v>
      </c>
      <c r="E191" s="73"/>
      <c r="M191" s="65" t="str">
        <f t="shared" si="8"/>
        <v/>
      </c>
      <c r="N191" s="65" t="str">
        <f t="shared" si="9"/>
        <v/>
      </c>
      <c r="O191" s="65">
        <v>47</v>
      </c>
      <c r="P191" s="65" t="s">
        <v>1114</v>
      </c>
      <c r="Q191" s="65" t="str">
        <f t="shared" si="12"/>
        <v/>
      </c>
      <c r="R191" s="68" t="str">
        <f t="shared" si="11"/>
        <v>Authorised limit for external debt as at year end</v>
      </c>
    </row>
    <row r="192" spans="2:18">
      <c r="B192" s="170" t="s">
        <v>2361</v>
      </c>
      <c r="C192" s="72"/>
      <c r="D192" s="70" t="s">
        <v>2362</v>
      </c>
      <c r="E192" s="73"/>
      <c r="M192" s="65" t="str">
        <f t="shared" si="8"/>
        <v/>
      </c>
      <c r="N192" s="65" t="str">
        <f t="shared" si="9"/>
        <v/>
      </c>
      <c r="P192" s="65" t="s">
        <v>1117</v>
      </c>
      <c r="Q192" s="65" t="str">
        <f t="shared" si="12"/>
        <v/>
      </c>
      <c r="R192" s="68" t="str">
        <f t="shared" si="11"/>
        <v>cyfanswm receipts:</v>
      </c>
    </row>
    <row r="193" spans="2:18">
      <c r="B193" s="170" t="s">
        <v>2372</v>
      </c>
      <c r="C193" s="72"/>
      <c r="D193" s="70" t="s">
        <v>2373</v>
      </c>
      <c r="E193" s="73"/>
      <c r="M193" s="65" t="str">
        <f t="shared" si="8"/>
        <v/>
      </c>
      <c r="N193" s="65" t="str">
        <f t="shared" si="9"/>
        <v/>
      </c>
      <c r="O193" s="65">
        <v>20</v>
      </c>
      <c r="P193" s="65" t="s">
        <v>1120</v>
      </c>
      <c r="Q193" s="65" t="str">
        <f t="shared" si="12"/>
        <v/>
      </c>
      <c r="R193" s="68" t="str">
        <f t="shared" si="11"/>
        <v>cyfanswm in-year capital receipts - HRA (COR1-2, line 24, column 13)</v>
      </c>
    </row>
    <row r="194" spans="2:18">
      <c r="B194" s="170" t="s">
        <v>2375</v>
      </c>
      <c r="C194" s="72"/>
      <c r="D194" s="70" t="s">
        <v>2376</v>
      </c>
      <c r="E194" s="73"/>
      <c r="M194" s="65" t="str">
        <f t="shared" si="8"/>
        <v/>
      </c>
      <c r="N194" s="65" t="str">
        <f t="shared" si="9"/>
        <v/>
      </c>
      <c r="O194" s="65">
        <v>21</v>
      </c>
      <c r="P194" s="65" t="s">
        <v>1123</v>
      </c>
      <c r="Q194" s="65" t="str">
        <f t="shared" si="12"/>
        <v/>
      </c>
      <c r="R194" s="68" t="str">
        <f t="shared" si="11"/>
        <v>cyfanswm in-year capital receipts non HRA (COR1-2, line 66 minus line 24, column 13)</v>
      </c>
    </row>
    <row r="195" spans="2:18">
      <c r="B195" s="170" t="s">
        <v>693</v>
      </c>
      <c r="C195" s="72"/>
      <c r="D195" s="70" t="s">
        <v>2380</v>
      </c>
      <c r="E195" s="73"/>
      <c r="M195" s="65" t="str">
        <f t="shared" ref="M195:M258" si="13">IF(ISERROR(FIND("=",P195)),"",RIGHT(P195,LEN(P195)-FIND("=",P195)+3))</f>
        <v/>
      </c>
      <c r="N195" s="65" t="str">
        <f t="shared" ref="N195:N258" si="14">IF(ISERROR(FIND(" (include",P195)),"",RIGHT(P195,LEN(P195)-FIND(" (include",P195)))</f>
        <v/>
      </c>
      <c r="O195" s="65">
        <v>22</v>
      </c>
      <c r="P195" s="65" t="s">
        <v>1126</v>
      </c>
      <c r="Q195" s="65" t="str">
        <f t="shared" si="12"/>
        <v>(lines 20 and 21)</v>
      </c>
      <c r="R195" s="68" t="str">
        <f t="shared" ref="R195:R258" si="15">LEFT(P195,LEN(P195)-LEN(Q195))</f>
        <v xml:space="preserve">cyfanswm in-year capital receipts </v>
      </c>
    </row>
    <row r="196" spans="2:18">
      <c r="B196" s="170" t="s">
        <v>2383</v>
      </c>
      <c r="C196" s="72"/>
      <c r="D196" s="70" t="s">
        <v>2384</v>
      </c>
      <c r="E196" s="73"/>
      <c r="M196" s="65" t="str">
        <f t="shared" si="13"/>
        <v/>
      </c>
      <c r="N196" s="65" t="str">
        <f t="shared" si="14"/>
        <v/>
      </c>
      <c r="P196" s="65" t="s">
        <v>1129</v>
      </c>
      <c r="Q196" s="65" t="str">
        <f t="shared" si="12"/>
        <v/>
      </c>
      <c r="R196" s="68" t="str">
        <f t="shared" si="15"/>
        <v>Memorandum:</v>
      </c>
    </row>
    <row r="197" spans="2:18">
      <c r="B197" s="170" t="s">
        <v>2395</v>
      </c>
      <c r="C197" s="72"/>
      <c r="D197" s="70" t="s">
        <v>2396</v>
      </c>
      <c r="E197" s="73"/>
      <c r="M197" s="65" t="str">
        <f t="shared" si="13"/>
        <v/>
      </c>
      <c r="N197" s="65" t="str">
        <f t="shared" si="14"/>
        <v/>
      </c>
      <c r="P197" s="65" t="s">
        <v>1132</v>
      </c>
      <c r="Q197" s="65" t="str">
        <f t="shared" si="12"/>
        <v/>
      </c>
      <c r="R197" s="68" t="str">
        <f t="shared" si="15"/>
        <v>Additional liabilities of Local Authority companies:</v>
      </c>
    </row>
    <row r="198" spans="2:18">
      <c r="B198" s="170" t="s">
        <v>2397</v>
      </c>
      <c r="C198" s="72"/>
      <c r="D198" s="70" t="s">
        <v>2398</v>
      </c>
      <c r="E198" s="73"/>
      <c r="M198" s="65" t="str">
        <f t="shared" si="13"/>
        <v/>
      </c>
      <c r="N198" s="65" t="str">
        <f t="shared" si="14"/>
        <v/>
      </c>
      <c r="O198" s="65">
        <v>48</v>
      </c>
      <c r="P198" s="65" t="s">
        <v>1135</v>
      </c>
      <c r="Q198" s="65" t="str">
        <f t="shared" si="12"/>
        <v/>
      </c>
      <c r="R198" s="68" t="str">
        <f t="shared" si="15"/>
        <v>Gross borrowing and other long-term liabilities as at start of year</v>
      </c>
    </row>
    <row r="199" spans="2:18">
      <c r="B199" s="170" t="s">
        <v>2408</v>
      </c>
      <c r="C199" s="72"/>
      <c r="D199" s="70" t="s">
        <v>2409</v>
      </c>
      <c r="E199" s="73"/>
      <c r="M199" s="65" t="str">
        <f t="shared" si="13"/>
        <v/>
      </c>
      <c r="N199" s="65" t="str">
        <f t="shared" si="14"/>
        <v/>
      </c>
      <c r="O199" s="65">
        <v>49</v>
      </c>
      <c r="P199" s="65" t="s">
        <v>1138</v>
      </c>
      <c r="Q199" s="65" t="str">
        <f t="shared" si="12"/>
        <v/>
      </c>
      <c r="R199" s="68" t="str">
        <f t="shared" si="15"/>
        <v>Gross borrowing and other long-term liabilities as at end of year</v>
      </c>
    </row>
    <row r="200" spans="2:18">
      <c r="B200" s="170" t="s">
        <v>2414</v>
      </c>
      <c r="C200" s="72"/>
      <c r="D200" s="70" t="s">
        <v>2415</v>
      </c>
      <c r="E200" s="73"/>
      <c r="M200" s="65" t="str">
        <f t="shared" si="13"/>
        <v/>
      </c>
      <c r="N200" s="65" t="str">
        <f t="shared" si="14"/>
        <v/>
      </c>
      <c r="P200" s="65" t="s">
        <v>1141</v>
      </c>
      <c r="Q200" s="65" t="str">
        <f t="shared" si="12"/>
        <v/>
      </c>
      <c r="R200" s="68" t="str">
        <f t="shared" si="15"/>
        <v>Gross HRA unsupported borrowing:</v>
      </c>
    </row>
    <row r="201" spans="2:18">
      <c r="B201" s="170" t="s">
        <v>2423</v>
      </c>
      <c r="C201" s="72"/>
      <c r="D201" s="70" t="s">
        <v>2424</v>
      </c>
      <c r="E201" s="73"/>
      <c r="M201" s="65" t="str">
        <f t="shared" si="13"/>
        <v/>
      </c>
      <c r="N201" s="65" t="str">
        <f t="shared" si="14"/>
        <v/>
      </c>
      <c r="O201" s="65">
        <v>54</v>
      </c>
      <c r="P201" s="65" t="s">
        <v>1144</v>
      </c>
      <c r="Q201" s="65" t="str">
        <f t="shared" si="12"/>
        <v/>
      </c>
      <c r="R201" s="68" t="str">
        <f t="shared" si="15"/>
        <v>At start of year</v>
      </c>
    </row>
    <row r="202" spans="2:18">
      <c r="B202" s="170" t="s">
        <v>2425</v>
      </c>
      <c r="C202" s="72"/>
      <c r="D202" s="70" t="s">
        <v>2426</v>
      </c>
      <c r="E202" s="73"/>
      <c r="M202" s="65" t="str">
        <f t="shared" si="13"/>
        <v/>
      </c>
      <c r="N202" s="65" t="str">
        <f t="shared" si="14"/>
        <v/>
      </c>
      <c r="O202" s="65">
        <v>55</v>
      </c>
      <c r="P202" s="65" t="s">
        <v>1147</v>
      </c>
      <c r="Q202" s="65" t="str">
        <f t="shared" si="12"/>
        <v/>
      </c>
      <c r="R202" s="68" t="str">
        <f t="shared" si="15"/>
        <v>At end of year</v>
      </c>
    </row>
    <row r="203" spans="2:18">
      <c r="B203" s="170" t="s">
        <v>2427</v>
      </c>
      <c r="C203" s="72"/>
      <c r="D203" s="70" t="s">
        <v>2428</v>
      </c>
      <c r="E203" s="73"/>
      <c r="M203" s="65" t="str">
        <f t="shared" si="13"/>
        <v/>
      </c>
      <c r="N203" s="65" t="str">
        <f t="shared" si="14"/>
        <v/>
      </c>
      <c r="P203" s="65" t="s">
        <v>1150</v>
      </c>
      <c r="Q203" s="65" t="str">
        <f t="shared" si="12"/>
        <v/>
      </c>
      <c r="R203" s="68" t="str">
        <f t="shared" si="15"/>
        <v>The Authority’s figures for the LGBI for highways’ improvements</v>
      </c>
    </row>
    <row r="204" spans="2:18">
      <c r="B204" s="170" t="s">
        <v>2429</v>
      </c>
      <c r="C204" s="72"/>
      <c r="D204" s="70" t="s">
        <v>2430</v>
      </c>
      <c r="E204" s="73"/>
      <c r="M204" s="65" t="str">
        <f t="shared" si="13"/>
        <v/>
      </c>
      <c r="N204" s="65" t="str">
        <f t="shared" si="14"/>
        <v/>
      </c>
      <c r="O204" s="65">
        <v>56</v>
      </c>
      <c r="P204" s="65" t="s">
        <v>1153</v>
      </c>
      <c r="Q204" s="65" t="str">
        <f t="shared" si="12"/>
        <v/>
      </c>
      <c r="R204" s="68" t="str">
        <f t="shared" si="15"/>
        <v>Amount included in line 31.1 above relating to the LGBI for highways’ improvements</v>
      </c>
    </row>
    <row r="205" spans="2:18">
      <c r="B205" s="170" t="s">
        <v>2431</v>
      </c>
      <c r="C205" s="72"/>
      <c r="D205" s="70" t="s">
        <v>2432</v>
      </c>
      <c r="E205" s="73"/>
      <c r="M205" s="65" t="str">
        <f t="shared" si="13"/>
        <v/>
      </c>
      <c r="N205" s="65" t="str">
        <f t="shared" si="14"/>
        <v/>
      </c>
      <c r="P205" s="65" t="s">
        <v>1155</v>
      </c>
      <c r="Q205" s="65" t="str">
        <f t="shared" si="12"/>
        <v/>
      </c>
      <c r="R205" s="68" t="str">
        <f t="shared" si="15"/>
        <v>Please use white cells for input only</v>
      </c>
    </row>
    <row r="206" spans="2:18">
      <c r="B206" s="170" t="s">
        <v>2433</v>
      </c>
      <c r="C206" s="72"/>
      <c r="D206" s="70" t="s">
        <v>2434</v>
      </c>
      <c r="E206" s="73"/>
      <c r="M206" s="65" t="str">
        <f t="shared" si="13"/>
        <v/>
      </c>
      <c r="N206" s="65" t="str">
        <f t="shared" si="14"/>
        <v/>
      </c>
      <c r="P206" s="65" t="s">
        <v>1158</v>
      </c>
      <c r="Q206" s="65" t="str">
        <f t="shared" si="12"/>
        <v/>
      </c>
      <c r="R206" s="68" t="str">
        <f t="shared" si="15"/>
        <v>Blue cells are calculated</v>
      </c>
    </row>
    <row r="207" spans="2:18">
      <c r="B207" s="170" t="s">
        <v>2435</v>
      </c>
      <c r="C207" s="72"/>
      <c r="D207" s="70" t="s">
        <v>2436</v>
      </c>
      <c r="E207" s="73"/>
      <c r="M207" s="65" t="str">
        <f t="shared" si="13"/>
        <v/>
      </c>
      <c r="N207" s="65" t="str">
        <f t="shared" si="14"/>
        <v/>
      </c>
      <c r="P207" s="65" t="s">
        <v>1161</v>
      </c>
      <c r="Q207" s="65" t="str">
        <f t="shared" si="12"/>
        <v/>
      </c>
      <c r="R207" s="68" t="str">
        <f t="shared" si="15"/>
        <v>Gold cells are not used</v>
      </c>
    </row>
    <row r="208" spans="2:18">
      <c r="B208" s="170" t="s">
        <v>2437</v>
      </c>
      <c r="C208" s="72"/>
      <c r="D208" s="70" t="s">
        <v>2438</v>
      </c>
      <c r="E208" s="73"/>
      <c r="M208" s="65" t="str">
        <f t="shared" si="13"/>
        <v/>
      </c>
      <c r="N208" s="65" t="str">
        <f t="shared" si="14"/>
        <v/>
      </c>
      <c r="P208" s="68" t="s">
        <v>1164</v>
      </c>
      <c r="Q208" s="65" t="str">
        <f t="shared" si="12"/>
        <v/>
      </c>
      <c r="R208" s="68" t="str">
        <f t="shared" si="15"/>
        <v xml:space="preserve">Lines 32 and 19 should be equal.  Any difference is shown here:          </v>
      </c>
    </row>
    <row r="209" spans="2:18">
      <c r="B209" s="170" t="s">
        <v>2439</v>
      </c>
      <c r="C209" s="72"/>
      <c r="D209" s="70" t="s">
        <v>2440</v>
      </c>
      <c r="E209" s="73"/>
      <c r="M209" s="65" t="str">
        <f t="shared" si="13"/>
        <v/>
      </c>
      <c r="N209" s="65" t="str">
        <f t="shared" si="14"/>
        <v/>
      </c>
      <c r="P209" s="65" t="s">
        <v>1167</v>
      </c>
      <c r="Q209" s="65" t="str">
        <f t="shared" si="12"/>
        <v/>
      </c>
      <c r="R209" s="68" t="str">
        <f t="shared" si="15"/>
        <v>On Balance Sheet PFI Financing</v>
      </c>
    </row>
    <row r="210" spans="2:18">
      <c r="B210" s="170" t="s">
        <v>2441</v>
      </c>
      <c r="C210" s="72"/>
      <c r="D210" s="70" t="s">
        <v>2442</v>
      </c>
      <c r="E210" s="73"/>
      <c r="M210" s="65" t="str">
        <f t="shared" si="13"/>
        <v/>
      </c>
      <c r="N210" s="65" t="str">
        <f t="shared" si="14"/>
        <v/>
      </c>
      <c r="Q210" s="65" t="str">
        <f t="shared" si="12"/>
        <v/>
      </c>
      <c r="R210" s="68" t="str">
        <f t="shared" si="15"/>
        <v/>
      </c>
    </row>
    <row r="211" spans="2:18">
      <c r="B211" s="170" t="s">
        <v>2443</v>
      </c>
      <c r="C211" s="72"/>
      <c r="D211" s="70" t="s">
        <v>2444</v>
      </c>
      <c r="E211" s="73"/>
      <c r="M211" s="65" t="str">
        <f t="shared" si="13"/>
        <v/>
      </c>
      <c r="N211" s="65" t="str">
        <f t="shared" si="14"/>
        <v/>
      </c>
      <c r="O211" s="64" t="s">
        <v>1172</v>
      </c>
      <c r="Q211" s="65" t="str">
        <f t="shared" si="12"/>
        <v/>
      </c>
      <c r="R211" s="68" t="str">
        <f t="shared" si="15"/>
        <v/>
      </c>
    </row>
    <row r="212" spans="2:18">
      <c r="B212" s="170" t="s">
        <v>2445</v>
      </c>
      <c r="C212" s="72"/>
      <c r="D212" s="70" t="s">
        <v>2446</v>
      </c>
      <c r="E212" s="73"/>
      <c r="M212" s="65" t="str">
        <f t="shared" si="13"/>
        <v/>
      </c>
      <c r="N212" s="65" t="str">
        <f t="shared" si="14"/>
        <v/>
      </c>
      <c r="Q212" s="65" t="str">
        <f t="shared" si="12"/>
        <v/>
      </c>
      <c r="R212" s="68" t="str">
        <f t="shared" si="15"/>
        <v/>
      </c>
    </row>
    <row r="213" spans="2:18">
      <c r="B213" s="170" t="s">
        <v>2447</v>
      </c>
      <c r="C213" s="72"/>
      <c r="D213" s="70" t="s">
        <v>2448</v>
      </c>
      <c r="E213" s="73"/>
      <c r="M213" s="65" t="str">
        <f t="shared" si="13"/>
        <v/>
      </c>
      <c r="N213" s="65" t="str">
        <f t="shared" si="14"/>
        <v/>
      </c>
      <c r="P213" s="65" t="s">
        <v>1177</v>
      </c>
      <c r="Q213" s="65" t="str">
        <f t="shared" si="12"/>
        <v/>
      </c>
      <c r="R213" s="68" t="str">
        <f t="shared" si="15"/>
        <v>Validation checks</v>
      </c>
    </row>
    <row r="214" spans="2:18">
      <c r="B214" s="170" t="s">
        <v>2449</v>
      </c>
      <c r="C214" s="72"/>
      <c r="D214" s="70" t="s">
        <v>2450</v>
      </c>
      <c r="E214" s="73"/>
      <c r="M214" s="65" t="str">
        <f t="shared" si="13"/>
        <v/>
      </c>
      <c r="N214" s="65" t="str">
        <f t="shared" si="14"/>
        <v/>
      </c>
      <c r="P214" s="65" t="s">
        <v>1180</v>
      </c>
      <c r="Q214" s="65" t="str">
        <f t="shared" si="12"/>
        <v/>
      </c>
      <c r="R214" s="68" t="str">
        <f t="shared" si="15"/>
        <v>CAPITAL FINANCING</v>
      </c>
    </row>
    <row r="215" spans="2:18">
      <c r="B215" s="170" t="s">
        <v>2451</v>
      </c>
      <c r="C215" s="72"/>
      <c r="D215" s="70" t="s">
        <v>2452</v>
      </c>
      <c r="E215" s="73"/>
      <c r="M215" s="65" t="str">
        <f t="shared" si="13"/>
        <v/>
      </c>
      <c r="N215" s="65" t="str">
        <f t="shared" si="14"/>
        <v/>
      </c>
      <c r="O215" s="65">
        <v>1</v>
      </c>
      <c r="P215" s="65" t="s">
        <v>1183</v>
      </c>
      <c r="Q215" s="65" t="str">
        <f t="shared" si="12"/>
        <v/>
      </c>
      <c r="R215" s="68" t="str">
        <f t="shared" si="15"/>
        <v>Line 30.1 and 30.2 greater than 0</v>
      </c>
    </row>
    <row r="216" spans="2:18">
      <c r="B216" s="170" t="s">
        <v>2453</v>
      </c>
      <c r="C216" s="72"/>
      <c r="D216" s="70" t="s">
        <v>2454</v>
      </c>
      <c r="E216" s="73"/>
      <c r="M216" s="65" t="str">
        <f t="shared" si="13"/>
        <v/>
      </c>
      <c r="N216" s="65" t="str">
        <f t="shared" si="14"/>
        <v/>
      </c>
      <c r="O216" s="65">
        <v>2</v>
      </c>
      <c r="P216" s="65" t="s">
        <v>1186</v>
      </c>
      <c r="Q216" s="65" t="str">
        <f t="shared" si="12"/>
        <v/>
      </c>
      <c r="R216" s="68" t="str">
        <f t="shared" si="15"/>
        <v>Line 35 as a percentage of line 33</v>
      </c>
    </row>
    <row r="217" spans="2:18">
      <c r="B217" s="170" t="s">
        <v>2455</v>
      </c>
      <c r="C217" s="72"/>
      <c r="D217" s="70" t="s">
        <v>2456</v>
      </c>
      <c r="E217" s="73"/>
      <c r="M217" s="65" t="str">
        <f t="shared" si="13"/>
        <v/>
      </c>
      <c r="N217" s="65" t="str">
        <f t="shared" si="14"/>
        <v/>
      </c>
      <c r="O217" s="65">
        <v>3</v>
      </c>
      <c r="P217" s="65" t="s">
        <v>1189</v>
      </c>
      <c r="Q217" s="65" t="str">
        <f t="shared" si="12"/>
        <v/>
      </c>
      <c r="R217" s="68" t="str">
        <f t="shared" si="15"/>
        <v>Line 38 + line 39 greater than 0</v>
      </c>
    </row>
    <row r="218" spans="2:18">
      <c r="B218" s="170" t="s">
        <v>2457</v>
      </c>
      <c r="C218" s="72"/>
      <c r="D218" s="70" t="s">
        <v>2458</v>
      </c>
      <c r="E218" s="73"/>
      <c r="M218" s="65" t="str">
        <f t="shared" si="13"/>
        <v/>
      </c>
      <c r="N218" s="65" t="str">
        <f t="shared" si="14"/>
        <v/>
      </c>
      <c r="O218" s="65">
        <v>4</v>
      </c>
      <c r="P218" s="65" t="s">
        <v>1192</v>
      </c>
      <c r="Q218" s="65" t="str">
        <f t="shared" ref="Q218:Q261" si="16">IF(ISERROR(FIND(" (line",P218)),"",RIGHT(P218,LEN(P218)-FIND(" (line",P218)))</f>
        <v/>
      </c>
      <c r="R218" s="68" t="str">
        <f t="shared" si="15"/>
        <v>Line 38 + line 39 as a percentage of line 33</v>
      </c>
    </row>
    <row r="219" spans="2:18">
      <c r="B219" s="170" t="s">
        <v>2459</v>
      </c>
      <c r="C219" s="72"/>
      <c r="D219" s="70" t="s">
        <v>2460</v>
      </c>
      <c r="E219" s="73"/>
      <c r="M219" s="65" t="str">
        <f t="shared" si="13"/>
        <v/>
      </c>
      <c r="N219" s="65" t="str">
        <f t="shared" si="14"/>
        <v/>
      </c>
      <c r="O219" s="65">
        <v>5</v>
      </c>
      <c r="P219" s="65" t="s">
        <v>1195</v>
      </c>
      <c r="Q219" s="65" t="str">
        <f t="shared" si="16"/>
        <v/>
      </c>
      <c r="R219" s="68" t="str">
        <f t="shared" si="15"/>
        <v>Line 40 or 43 greater than 1</v>
      </c>
    </row>
    <row r="220" spans="2:18">
      <c r="B220" s="170" t="s">
        <v>2461</v>
      </c>
      <c r="C220" s="72"/>
      <c r="D220" s="70" t="s">
        <v>2462</v>
      </c>
      <c r="E220" s="73"/>
      <c r="M220" s="65" t="str">
        <f t="shared" si="13"/>
        <v/>
      </c>
      <c r="N220" s="65" t="str">
        <f t="shared" si="14"/>
        <v/>
      </c>
      <c r="O220" s="65">
        <v>6</v>
      </c>
      <c r="P220" s="65" t="s">
        <v>1198</v>
      </c>
      <c r="Q220" s="65" t="str">
        <f t="shared" si="16"/>
        <v/>
      </c>
      <c r="R220" s="68" t="str">
        <f t="shared" si="15"/>
        <v>Line 41 + line 42 greater than 0</v>
      </c>
    </row>
    <row r="221" spans="2:18">
      <c r="B221" s="170" t="s">
        <v>2463</v>
      </c>
      <c r="C221" s="72"/>
      <c r="D221" s="70" t="s">
        <v>2464</v>
      </c>
      <c r="E221" s="73"/>
      <c r="M221" s="65" t="str">
        <f t="shared" si="13"/>
        <v/>
      </c>
      <c r="N221" s="65" t="str">
        <f t="shared" si="14"/>
        <v/>
      </c>
      <c r="O221" s="65">
        <v>7</v>
      </c>
      <c r="P221" s="65" t="s">
        <v>1201</v>
      </c>
      <c r="Q221" s="65" t="str">
        <f t="shared" si="16"/>
        <v/>
      </c>
      <c r="R221" s="68" t="str">
        <f t="shared" si="15"/>
        <v>Line 44 greater than or equal to line 38 + line 39</v>
      </c>
    </row>
    <row r="222" spans="2:18">
      <c r="B222" s="170" t="s">
        <v>2465</v>
      </c>
      <c r="C222" s="72"/>
      <c r="D222" s="70" t="s">
        <v>2466</v>
      </c>
      <c r="E222" s="73"/>
      <c r="M222" s="65" t="str">
        <f t="shared" si="13"/>
        <v/>
      </c>
      <c r="N222" s="65" t="str">
        <f t="shared" si="14"/>
        <v/>
      </c>
      <c r="O222" s="65">
        <v>8</v>
      </c>
      <c r="P222" s="65" t="s">
        <v>1204</v>
      </c>
      <c r="Q222" s="65" t="str">
        <f t="shared" si="16"/>
        <v/>
      </c>
      <c r="R222" s="68" t="str">
        <f t="shared" si="15"/>
        <v>Line 45 greater than or equal to line 44</v>
      </c>
    </row>
    <row r="223" spans="2:18">
      <c r="B223" s="170" t="s">
        <v>2467</v>
      </c>
      <c r="C223" s="72"/>
      <c r="D223" s="70" t="s">
        <v>2468</v>
      </c>
      <c r="E223" s="73"/>
      <c r="M223" s="65" t="str">
        <f t="shared" si="13"/>
        <v/>
      </c>
      <c r="N223" s="65" t="str">
        <f t="shared" si="14"/>
        <v/>
      </c>
      <c r="O223" s="65">
        <v>9</v>
      </c>
      <c r="P223" s="65" t="s">
        <v>1207</v>
      </c>
      <c r="Q223" s="65" t="str">
        <f t="shared" si="16"/>
        <v/>
      </c>
      <c r="R223" s="68" t="str">
        <f t="shared" si="15"/>
        <v>Line 47 greater than or equal to line 46</v>
      </c>
    </row>
    <row r="224" spans="2:18">
      <c r="B224" s="170" t="s">
        <v>2469</v>
      </c>
      <c r="C224" s="72"/>
      <c r="D224" s="70" t="s">
        <v>2470</v>
      </c>
      <c r="E224" s="73"/>
      <c r="M224" s="65" t="str">
        <f t="shared" si="13"/>
        <v/>
      </c>
      <c r="N224" s="65" t="str">
        <f t="shared" si="14"/>
        <v/>
      </c>
      <c r="O224" s="65">
        <v>10</v>
      </c>
      <c r="P224" s="65" t="s">
        <v>1210</v>
      </c>
      <c r="Q224" s="65" t="str">
        <f t="shared" si="16"/>
        <v/>
      </c>
      <c r="R224" s="68" t="str">
        <f t="shared" si="15"/>
        <v>Line 46 greater than or equal to line 41 + line 42</v>
      </c>
    </row>
    <row r="225" spans="2:18">
      <c r="B225" s="170" t="s">
        <v>2471</v>
      </c>
      <c r="C225" s="72"/>
      <c r="D225" s="70" t="s">
        <v>2472</v>
      </c>
      <c r="E225" s="73"/>
      <c r="M225" s="65" t="str">
        <f t="shared" si="13"/>
        <v/>
      </c>
      <c r="N225" s="65" t="str">
        <f t="shared" si="14"/>
        <v/>
      </c>
      <c r="O225" s="65">
        <v>11</v>
      </c>
      <c r="P225" s="65" t="s">
        <v>1213</v>
      </c>
      <c r="Q225" s="65" t="str">
        <f t="shared" si="16"/>
        <v/>
      </c>
      <c r="R225" s="68" t="str">
        <f t="shared" si="15"/>
        <v>Line 45 greater than or equal to line 37</v>
      </c>
    </row>
    <row r="226" spans="2:18">
      <c r="B226" s="170" t="s">
        <v>2473</v>
      </c>
      <c r="C226" s="72"/>
      <c r="D226" s="70" t="s">
        <v>2474</v>
      </c>
      <c r="E226" s="73"/>
      <c r="M226" s="65" t="str">
        <f t="shared" si="13"/>
        <v/>
      </c>
      <c r="N226" s="65" t="str">
        <f t="shared" si="14"/>
        <v/>
      </c>
      <c r="O226" s="65">
        <v>12</v>
      </c>
      <c r="P226" s="65" t="s">
        <v>1216</v>
      </c>
      <c r="Q226" s="65" t="str">
        <f t="shared" si="16"/>
        <v/>
      </c>
      <c r="R226" s="68" t="str">
        <f t="shared" si="15"/>
        <v>Line 47 greater than or equal to line 37</v>
      </c>
    </row>
    <row r="227" spans="2:18">
      <c r="B227" s="170" t="s">
        <v>2475</v>
      </c>
      <c r="C227" s="72"/>
      <c r="D227" s="70" t="s">
        <v>2476</v>
      </c>
      <c r="E227" s="73"/>
      <c r="M227" s="65" t="str">
        <f t="shared" si="13"/>
        <v/>
      </c>
      <c r="N227" s="65" t="str">
        <f t="shared" si="14"/>
        <v/>
      </c>
      <c r="O227" s="65">
        <v>13</v>
      </c>
      <c r="P227" s="65" t="s">
        <v>1219</v>
      </c>
      <c r="Q227" s="65" t="str">
        <f t="shared" si="16"/>
        <v/>
      </c>
      <c r="R227" s="68" t="str">
        <f t="shared" si="15"/>
        <v>Line 48 less than half of line 38 + line 39</v>
      </c>
    </row>
    <row r="228" spans="2:18">
      <c r="B228" s="170" t="s">
        <v>2477</v>
      </c>
      <c r="C228" s="72"/>
      <c r="D228" s="70" t="s">
        <v>2478</v>
      </c>
      <c r="E228" s="73"/>
      <c r="M228" s="65" t="str">
        <f t="shared" si="13"/>
        <v/>
      </c>
      <c r="N228" s="65" t="str">
        <f t="shared" si="14"/>
        <v/>
      </c>
      <c r="O228" s="65">
        <v>14</v>
      </c>
      <c r="P228" s="65" t="s">
        <v>1222</v>
      </c>
      <c r="Q228" s="65" t="str">
        <f t="shared" si="16"/>
        <v/>
      </c>
      <c r="R228" s="68" t="str">
        <f t="shared" si="15"/>
        <v>Line 49 + less than half of line 41 + line 42</v>
      </c>
    </row>
    <row r="229" spans="2:18">
      <c r="B229" s="170" t="s">
        <v>2479</v>
      </c>
      <c r="C229" s="72"/>
      <c r="D229" s="70" t="s">
        <v>2480</v>
      </c>
      <c r="E229" s="73"/>
      <c r="M229" s="65" t="str">
        <f t="shared" si="13"/>
        <v/>
      </c>
      <c r="N229" s="65" t="str">
        <f t="shared" si="14"/>
        <v/>
      </c>
      <c r="O229" s="65">
        <v>15</v>
      </c>
      <c r="P229" s="65" t="s">
        <v>1225</v>
      </c>
      <c r="Q229" s="65" t="str">
        <f t="shared" si="16"/>
        <v/>
      </c>
      <c r="R229" s="68" t="str">
        <f t="shared" si="15"/>
        <v>Line 43 greater than 0</v>
      </c>
    </row>
    <row r="230" spans="2:18">
      <c r="B230" s="170" t="s">
        <v>2481</v>
      </c>
      <c r="C230" s="72"/>
      <c r="D230" s="70" t="s">
        <v>2482</v>
      </c>
      <c r="E230" s="73"/>
      <c r="M230" s="65" t="str">
        <f t="shared" si="13"/>
        <v/>
      </c>
      <c r="N230" s="65" t="str">
        <f t="shared" si="14"/>
        <v/>
      </c>
      <c r="O230" s="65">
        <v>16</v>
      </c>
      <c r="P230" s="65" t="s">
        <v>1228</v>
      </c>
      <c r="Q230" s="65" t="str">
        <f t="shared" si="16"/>
        <v/>
      </c>
      <c r="R230" s="68" t="str">
        <f t="shared" si="15"/>
        <v>Line 44 greater than 0</v>
      </c>
    </row>
    <row r="231" spans="2:18">
      <c r="B231" s="170" t="s">
        <v>2483</v>
      </c>
      <c r="C231" s="72"/>
      <c r="D231" s="70" t="s">
        <v>2484</v>
      </c>
      <c r="E231" s="73"/>
      <c r="M231" s="65" t="str">
        <f t="shared" si="13"/>
        <v/>
      </c>
      <c r="N231" s="65" t="str">
        <f t="shared" si="14"/>
        <v/>
      </c>
      <c r="O231" s="65">
        <v>17</v>
      </c>
      <c r="P231" s="65" t="s">
        <v>1231</v>
      </c>
      <c r="Q231" s="65" t="str">
        <f t="shared" si="16"/>
        <v/>
      </c>
      <c r="R231" s="68" t="str">
        <f t="shared" si="15"/>
        <v>Line 45 greater than 0</v>
      </c>
    </row>
    <row r="232" spans="2:18">
      <c r="B232" s="170" t="s">
        <v>2485</v>
      </c>
      <c r="C232" s="72"/>
      <c r="D232" s="70" t="s">
        <v>2486</v>
      </c>
      <c r="E232" s="73"/>
      <c r="M232" s="65" t="str">
        <f t="shared" si="13"/>
        <v/>
      </c>
      <c r="N232" s="65" t="str">
        <f t="shared" si="14"/>
        <v/>
      </c>
      <c r="O232" s="65">
        <v>18</v>
      </c>
      <c r="P232" s="65" t="s">
        <v>1234</v>
      </c>
      <c r="Q232" s="65" t="str">
        <f t="shared" si="16"/>
        <v/>
      </c>
      <c r="R232" s="68" t="str">
        <f t="shared" si="15"/>
        <v>Line 46 greater than 0</v>
      </c>
    </row>
    <row r="233" spans="2:18">
      <c r="B233" s="170" t="s">
        <v>2487</v>
      </c>
      <c r="C233" s="72"/>
      <c r="D233" s="70" t="s">
        <v>2488</v>
      </c>
      <c r="E233" s="73"/>
      <c r="M233" s="65" t="str">
        <f t="shared" si="13"/>
        <v/>
      </c>
      <c r="N233" s="65" t="str">
        <f t="shared" si="14"/>
        <v/>
      </c>
      <c r="O233" s="65">
        <v>19</v>
      </c>
      <c r="P233" s="65" t="s">
        <v>1237</v>
      </c>
      <c r="Q233" s="65" t="str">
        <f t="shared" si="16"/>
        <v/>
      </c>
      <c r="R233" s="68" t="str">
        <f t="shared" si="15"/>
        <v>Line 47 greater than 0</v>
      </c>
    </row>
    <row r="234" spans="2:18">
      <c r="B234" s="170" t="s">
        <v>2493</v>
      </c>
      <c r="C234" s="72"/>
      <c r="D234" s="70" t="s">
        <v>2494</v>
      </c>
      <c r="E234" s="73"/>
      <c r="M234" s="65" t="str">
        <f t="shared" si="13"/>
        <v/>
      </c>
      <c r="N234" s="65" t="str">
        <f t="shared" si="14"/>
        <v/>
      </c>
      <c r="P234" s="65" t="s">
        <v>1240</v>
      </c>
      <c r="Q234" s="65" t="str">
        <f t="shared" si="16"/>
        <v/>
      </c>
      <c r="R234" s="68" t="str">
        <f t="shared" si="15"/>
        <v>Difference</v>
      </c>
    </row>
    <row r="235" spans="2:18">
      <c r="B235" s="170" t="s">
        <v>2497</v>
      </c>
      <c r="C235" s="72"/>
      <c r="D235" s="70" t="s">
        <v>2498</v>
      </c>
      <c r="E235" s="73"/>
      <c r="M235" s="65" t="str">
        <f t="shared" si="13"/>
        <v/>
      </c>
      <c r="N235" s="65" t="str">
        <f t="shared" si="14"/>
        <v/>
      </c>
      <c r="P235" s="65" t="s">
        <v>1243</v>
      </c>
      <c r="Q235" s="65" t="str">
        <f t="shared" si="16"/>
        <v/>
      </c>
      <c r="R235" s="68" t="str">
        <f t="shared" si="15"/>
        <v>cyfanswm</v>
      </c>
    </row>
    <row r="236" spans="2:18">
      <c r="B236" s="170" t="s">
        <v>2499</v>
      </c>
      <c r="C236" s="72"/>
      <c r="D236" s="70" t="s">
        <v>2500</v>
      </c>
      <c r="E236" s="73"/>
      <c r="M236" s="65" t="str">
        <f t="shared" si="13"/>
        <v/>
      </c>
      <c r="N236" s="65" t="str">
        <f t="shared" si="14"/>
        <v/>
      </c>
      <c r="P236" s="65" t="s">
        <v>1246</v>
      </c>
      <c r="Q236" s="65" t="str">
        <f t="shared" si="16"/>
        <v/>
      </c>
      <c r="R236" s="68" t="str">
        <f t="shared" si="15"/>
        <v>comment</v>
      </c>
    </row>
    <row r="237" spans="2:18">
      <c r="B237" s="170" t="s">
        <v>2505</v>
      </c>
      <c r="C237" s="72"/>
      <c r="D237" s="70" t="s">
        <v>2506</v>
      </c>
      <c r="E237" s="73"/>
      <c r="M237" s="65" t="str">
        <f t="shared" si="13"/>
        <v/>
      </c>
      <c r="N237" s="65" t="str">
        <f t="shared" si="14"/>
        <v/>
      </c>
      <c r="P237" s="65" t="s">
        <v>1249</v>
      </c>
      <c r="Q237" s="65" t="str">
        <f t="shared" si="16"/>
        <v/>
      </c>
      <c r="R237" s="68" t="str">
        <f t="shared" si="15"/>
        <v>Please comment below if necessary</v>
      </c>
    </row>
    <row r="238" spans="2:18">
      <c r="B238" s="170" t="s">
        <v>2507</v>
      </c>
      <c r="C238" s="72"/>
      <c r="D238" s="70" t="s">
        <v>2508</v>
      </c>
      <c r="E238" s="73"/>
      <c r="M238" s="65" t="str">
        <f t="shared" si="13"/>
        <v/>
      </c>
      <c r="N238" s="65" t="str">
        <f t="shared" si="14"/>
        <v/>
      </c>
      <c r="P238" s="65" t="s">
        <v>1252</v>
      </c>
      <c r="Q238" s="65" t="str">
        <f t="shared" si="16"/>
        <v/>
      </c>
      <c r="R238" s="68" t="str">
        <f t="shared" si="15"/>
        <v>Please comment</v>
      </c>
    </row>
    <row r="239" spans="2:18">
      <c r="B239" s="170" t="s">
        <v>2509</v>
      </c>
      <c r="C239" s="72"/>
      <c r="D239" s="70" t="s">
        <v>2510</v>
      </c>
      <c r="E239" s="73"/>
      <c r="M239" s="65" t="str">
        <f t="shared" si="13"/>
        <v/>
      </c>
      <c r="N239" s="65" t="str">
        <f t="shared" si="14"/>
        <v/>
      </c>
      <c r="P239" s="65" t="s">
        <v>1255</v>
      </c>
      <c r="Q239" s="65" t="str">
        <f t="shared" si="16"/>
        <v/>
      </c>
      <c r="R239" s="68" t="str">
        <f t="shared" si="15"/>
        <v>Clear</v>
      </c>
    </row>
    <row r="240" spans="2:18">
      <c r="B240" s="170" t="s">
        <v>2511</v>
      </c>
      <c r="C240" s="72"/>
      <c r="D240" s="70" t="s">
        <v>2512</v>
      </c>
      <c r="E240" s="73"/>
      <c r="M240" s="65" t="str">
        <f t="shared" si="13"/>
        <v/>
      </c>
      <c r="N240" s="65" t="str">
        <f t="shared" si="14"/>
        <v/>
      </c>
      <c r="O240" s="64" t="s">
        <v>1258</v>
      </c>
      <c r="Q240" s="65" t="str">
        <f t="shared" si="16"/>
        <v/>
      </c>
      <c r="R240" s="68" t="str">
        <f t="shared" si="15"/>
        <v/>
      </c>
    </row>
    <row r="241" spans="2:18">
      <c r="B241" s="170" t="s">
        <v>2513</v>
      </c>
      <c r="C241" s="72"/>
      <c r="D241" s="70" t="s">
        <v>2514</v>
      </c>
      <c r="E241" s="73"/>
      <c r="M241" s="65" t="str">
        <f t="shared" si="13"/>
        <v/>
      </c>
      <c r="N241" s="65" t="str">
        <f t="shared" si="14"/>
        <v/>
      </c>
      <c r="P241" s="65" t="s">
        <v>1261</v>
      </c>
      <c r="Q241" s="65" t="str">
        <f t="shared" si="16"/>
        <v/>
      </c>
      <c r="R241" s="68" t="str">
        <f t="shared" si="15"/>
        <v>Please use the box below to give a brief supporting narrative of any major change in circumstances that might have an influence on</v>
      </c>
    </row>
    <row r="242" spans="2:18">
      <c r="B242" s="170" t="s">
        <v>2515</v>
      </c>
      <c r="C242" s="72"/>
      <c r="D242" s="70" t="s">
        <v>2516</v>
      </c>
      <c r="E242" s="73"/>
      <c r="M242" s="65" t="str">
        <f t="shared" si="13"/>
        <v/>
      </c>
      <c r="N242" s="65" t="str">
        <f t="shared" si="14"/>
        <v/>
      </c>
      <c r="P242" s="65" t="s">
        <v>1264</v>
      </c>
      <c r="Q242" s="65" t="str">
        <f t="shared" si="16"/>
        <v/>
      </c>
      <c r="R242" s="68" t="str">
        <f t="shared" si="15"/>
        <v>forecast figures around this time.</v>
      </c>
    </row>
    <row r="243" spans="2:18">
      <c r="B243" s="170" t="s">
        <v>2517</v>
      </c>
      <c r="C243" s="72"/>
      <c r="D243" s="70" t="s">
        <v>2518</v>
      </c>
      <c r="E243" s="73"/>
      <c r="M243" s="65" t="str">
        <f t="shared" si="13"/>
        <v/>
      </c>
      <c r="N243" s="65" t="str">
        <f t="shared" si="14"/>
        <v/>
      </c>
      <c r="P243" s="65" t="s">
        <v>1267</v>
      </c>
      <c r="Q243" s="65" t="str">
        <f t="shared" si="16"/>
        <v/>
      </c>
      <c r="R243" s="68" t="str">
        <f t="shared" si="15"/>
        <v>For example, significant changes or shifts in forecasts could be caused by: delays to projects, changing priorities for capital investment</v>
      </c>
    </row>
    <row r="244" spans="2:18">
      <c r="B244" s="170" t="s">
        <v>2519</v>
      </c>
      <c r="C244" s="72"/>
      <c r="D244" s="70" t="s">
        <v>2520</v>
      </c>
      <c r="E244" s="73"/>
      <c r="M244" s="65" t="str">
        <f t="shared" si="13"/>
        <v/>
      </c>
      <c r="N244" s="65" t="str">
        <f t="shared" si="14"/>
        <v/>
      </c>
      <c r="P244" s="65" t="s">
        <v>1270</v>
      </c>
      <c r="Q244" s="65" t="str">
        <f t="shared" si="16"/>
        <v/>
      </c>
      <c r="R244" s="68" t="str">
        <f t="shared" si="15"/>
        <v>or to tentatively identify any capital expenditure which may need to be covered by a capitalisation direction.</v>
      </c>
    </row>
    <row r="245" spans="2:18">
      <c r="B245" s="170" t="s">
        <v>2525</v>
      </c>
      <c r="C245" s="72"/>
      <c r="D245" s="70" t="s">
        <v>2526</v>
      </c>
      <c r="E245" s="73"/>
      <c r="M245" s="65" t="str">
        <f t="shared" si="13"/>
        <v/>
      </c>
      <c r="N245" s="65" t="str">
        <f t="shared" si="14"/>
        <v/>
      </c>
      <c r="Q245" s="65" t="str">
        <f t="shared" si="16"/>
        <v/>
      </c>
      <c r="R245" s="68" t="str">
        <f t="shared" si="15"/>
        <v/>
      </c>
    </row>
    <row r="246" spans="2:18">
      <c r="B246" s="170" t="s">
        <v>2527</v>
      </c>
      <c r="C246" s="72"/>
      <c r="D246" s="70" t="s">
        <v>2528</v>
      </c>
      <c r="E246" s="73"/>
      <c r="M246" s="65" t="str">
        <f t="shared" si="13"/>
        <v/>
      </c>
      <c r="N246" s="65" t="str">
        <f t="shared" si="14"/>
        <v/>
      </c>
      <c r="P246" s="64" t="s">
        <v>95</v>
      </c>
      <c r="Q246" s="65" t="str">
        <f t="shared" si="16"/>
        <v/>
      </c>
      <c r="R246" s="68" t="str">
        <f t="shared" si="15"/>
        <v>Survey Response Burden</v>
      </c>
    </row>
    <row r="247" spans="2:18">
      <c r="B247" s="170" t="s">
        <v>2535</v>
      </c>
      <c r="C247" s="72"/>
      <c r="D247" s="70" t="s">
        <v>2536</v>
      </c>
      <c r="E247" s="73"/>
      <c r="M247" s="65" t="str">
        <f t="shared" si="13"/>
        <v/>
      </c>
      <c r="N247" s="65" t="str">
        <f t="shared" si="14"/>
        <v/>
      </c>
      <c r="P247" s="65" t="s">
        <v>106</v>
      </c>
      <c r="Q247" s="65" t="str">
        <f t="shared" si="16"/>
        <v/>
      </c>
      <c r="R247" s="68" t="str">
        <f t="shared" si="15"/>
        <v xml:space="preserve">The Welsh Government are monitoring the burden of completing this data collection form. </v>
      </c>
    </row>
    <row r="248" spans="2:18">
      <c r="B248" s="170" t="s">
        <v>2537</v>
      </c>
      <c r="C248" s="72"/>
      <c r="D248" s="70" t="s">
        <v>2538</v>
      </c>
      <c r="E248" s="73"/>
      <c r="M248" s="65" t="str">
        <f t="shared" si="13"/>
        <v/>
      </c>
      <c r="N248" s="65" t="str">
        <f t="shared" si="14"/>
        <v/>
      </c>
      <c r="P248" s="65" t="s">
        <v>96</v>
      </c>
      <c r="Q248" s="65" t="str">
        <f t="shared" si="16"/>
        <v/>
      </c>
      <c r="R248" s="68" t="str">
        <f t="shared" si="15"/>
        <v>Please enter the time it has taken you (and any colleagues) to prepare and send the return.</v>
      </c>
    </row>
    <row r="249" spans="2:18">
      <c r="B249" s="170" t="s">
        <v>722</v>
      </c>
      <c r="C249" s="72"/>
      <c r="D249" s="70" t="s">
        <v>2539</v>
      </c>
      <c r="E249" s="73"/>
      <c r="M249" s="65" t="str">
        <f t="shared" si="13"/>
        <v/>
      </c>
      <c r="N249" s="65" t="str">
        <f t="shared" si="14"/>
        <v/>
      </c>
      <c r="P249" s="65" t="s">
        <v>97</v>
      </c>
      <c r="Q249" s="65" t="str">
        <f t="shared" si="16"/>
        <v/>
      </c>
      <c r="R249" s="68" t="str">
        <f t="shared" si="15"/>
        <v>Please only include time spent on activities to prepare and send this return, such as:</v>
      </c>
    </row>
    <row r="250" spans="2:18">
      <c r="B250" s="170" t="s">
        <v>2542</v>
      </c>
      <c r="C250" s="72"/>
      <c r="D250" s="70" t="s">
        <v>2543</v>
      </c>
      <c r="E250" s="73"/>
      <c r="M250" s="65" t="str">
        <f t="shared" si="13"/>
        <v/>
      </c>
      <c r="N250" s="65" t="str">
        <f t="shared" si="14"/>
        <v/>
      </c>
      <c r="P250" s="65" t="s">
        <v>1283</v>
      </c>
      <c r="Q250" s="65" t="str">
        <f t="shared" si="16"/>
        <v/>
      </c>
      <c r="R250" s="68" t="str">
        <f t="shared" si="15"/>
        <v>collection, analysis and aggregation of records and data required;</v>
      </c>
    </row>
    <row r="251" spans="2:18">
      <c r="B251" s="170" t="s">
        <v>2549</v>
      </c>
      <c r="C251" s="72"/>
      <c r="D251" s="70" t="s">
        <v>2550</v>
      </c>
      <c r="E251" s="73"/>
      <c r="M251" s="65" t="str">
        <f t="shared" si="13"/>
        <v/>
      </c>
      <c r="N251" s="65" t="str">
        <f t="shared" si="14"/>
        <v/>
      </c>
      <c r="P251" s="65" t="s">
        <v>1286</v>
      </c>
      <c r="Q251" s="65" t="str">
        <f t="shared" si="16"/>
        <v/>
      </c>
      <c r="R251" s="68" t="str">
        <f t="shared" si="15"/>
        <v>completing, checking, amending and approving the form.</v>
      </c>
    </row>
    <row r="252" spans="2:18">
      <c r="B252" s="170" t="s">
        <v>2551</v>
      </c>
      <c r="C252" s="72"/>
      <c r="D252" s="70" t="s">
        <v>2550</v>
      </c>
      <c r="E252" s="73"/>
      <c r="M252" s="65" t="str">
        <f t="shared" si="13"/>
        <v/>
      </c>
      <c r="N252" s="65" t="str">
        <f t="shared" si="14"/>
        <v/>
      </c>
      <c r="P252" s="65" t="s">
        <v>98</v>
      </c>
      <c r="Q252" s="65" t="str">
        <f t="shared" si="16"/>
        <v/>
      </c>
      <c r="R252" s="68" t="str">
        <f t="shared" si="15"/>
        <v>Hours taken</v>
      </c>
    </row>
    <row r="253" spans="2:18">
      <c r="B253" s="170" t="s">
        <v>2552</v>
      </c>
      <c r="C253" s="72"/>
      <c r="D253" s="70" t="s">
        <v>2553</v>
      </c>
      <c r="E253" s="73"/>
      <c r="M253" s="65" t="str">
        <f t="shared" si="13"/>
        <v/>
      </c>
      <c r="N253" s="65" t="str">
        <f t="shared" si="14"/>
        <v/>
      </c>
      <c r="P253" s="65" t="s">
        <v>99</v>
      </c>
      <c r="Q253" s="65" t="str">
        <f t="shared" si="16"/>
        <v/>
      </c>
      <c r="R253" s="68" t="str">
        <f t="shared" si="15"/>
        <v>Please feel free to add any comments</v>
      </c>
    </row>
    <row r="254" spans="2:18">
      <c r="B254" s="170" t="s">
        <v>2554</v>
      </c>
      <c r="C254" s="72"/>
      <c r="D254" s="70" t="s">
        <v>2555</v>
      </c>
      <c r="E254" s="73"/>
      <c r="M254" s="65" t="str">
        <f t="shared" si="13"/>
        <v/>
      </c>
      <c r="N254" s="65" t="str">
        <f t="shared" si="14"/>
        <v/>
      </c>
      <c r="P254" s="64" t="s">
        <v>1293</v>
      </c>
      <c r="Q254" s="65" t="str">
        <f t="shared" si="16"/>
        <v/>
      </c>
      <c r="R254" s="68" t="str">
        <f t="shared" si="15"/>
        <v>Comments</v>
      </c>
    </row>
    <row r="255" spans="2:18">
      <c r="B255" s="170" t="s">
        <v>2556</v>
      </c>
      <c r="C255" s="72"/>
      <c r="D255" s="70" t="s">
        <v>2557</v>
      </c>
      <c r="E255" s="73"/>
      <c r="M255" s="65" t="str">
        <f t="shared" si="13"/>
        <v/>
      </c>
      <c r="N255" s="65" t="str">
        <f t="shared" si="14"/>
        <v/>
      </c>
      <c r="P255" s="65" t="s">
        <v>105</v>
      </c>
      <c r="Q255" s="65" t="str">
        <f t="shared" si="16"/>
        <v/>
      </c>
      <c r="R255" s="68" t="str">
        <f t="shared" si="15"/>
        <v>Click the link below for notes for guidance for individual forms (Web access required)</v>
      </c>
    </row>
    <row r="256" spans="2:18">
      <c r="B256" s="170" t="s">
        <v>2558</v>
      </c>
      <c r="C256" s="72"/>
      <c r="D256" s="70" t="s">
        <v>2559</v>
      </c>
      <c r="E256" s="73"/>
      <c r="M256" s="65" t="str">
        <f t="shared" si="13"/>
        <v/>
      </c>
      <c r="N256" s="65" t="str">
        <f t="shared" si="14"/>
        <v/>
      </c>
      <c r="P256" s="65" t="s">
        <v>91</v>
      </c>
      <c r="Q256" s="65" t="str">
        <f t="shared" si="16"/>
        <v/>
      </c>
      <c r="R256" s="68" t="str">
        <f t="shared" si="15"/>
        <v>Notes for guidance hyperlink</v>
      </c>
    </row>
    <row r="257" spans="2:18">
      <c r="B257" s="170" t="s">
        <v>2560</v>
      </c>
      <c r="C257" s="72"/>
      <c r="D257" s="70" t="s">
        <v>2561</v>
      </c>
      <c r="E257" s="73"/>
      <c r="M257" s="65" t="str">
        <f t="shared" si="13"/>
        <v/>
      </c>
      <c r="N257" s="65" t="str">
        <f t="shared" si="14"/>
        <v/>
      </c>
      <c r="P257" s="75" t="s">
        <v>1300</v>
      </c>
      <c r="Q257" s="65" t="str">
        <f t="shared" si="16"/>
        <v/>
      </c>
      <c r="R257" s="68" t="str">
        <f t="shared" si="15"/>
        <v>We are continually striving to improve the form to make it easier to complete, whilst still ensuring data integrity and consistency across all authorities. If you have any comments or suggestions that may be useful,  please note them below:</v>
      </c>
    </row>
    <row r="258" spans="2:18">
      <c r="B258" s="170" t="s">
        <v>2562</v>
      </c>
      <c r="C258" s="72"/>
      <c r="D258" s="70" t="s">
        <v>2563</v>
      </c>
      <c r="E258" s="73"/>
      <c r="M258" s="65" t="str">
        <f t="shared" si="13"/>
        <v/>
      </c>
      <c r="N258" s="65" t="str">
        <f t="shared" si="14"/>
        <v/>
      </c>
      <c r="P258" s="65" t="s">
        <v>92</v>
      </c>
      <c r="Q258" s="65" t="str">
        <f t="shared" si="16"/>
        <v/>
      </c>
      <c r="R258" s="68" t="str">
        <f t="shared" si="15"/>
        <v>Form Design</v>
      </c>
    </row>
    <row r="259" spans="2:18">
      <c r="B259" s="170" t="s">
        <v>2564</v>
      </c>
      <c r="C259" s="72"/>
      <c r="D259" s="70" t="s">
        <v>2565</v>
      </c>
      <c r="E259" s="73"/>
      <c r="M259" s="65" t="str">
        <f t="shared" ref="M259:M322" si="17">IF(ISERROR(FIND("=",P259)),"",RIGHT(P259,LEN(P259)-FIND("=",P259)+3))</f>
        <v/>
      </c>
      <c r="N259" s="65" t="str">
        <f t="shared" ref="N259:N322" si="18">IF(ISERROR(FIND(" (include",P259)),"",RIGHT(P259,LEN(P259)-FIND(" (include",P259)))</f>
        <v/>
      </c>
      <c r="P259" s="65" t="s">
        <v>52</v>
      </c>
      <c r="Q259" s="65" t="str">
        <f t="shared" si="16"/>
        <v/>
      </c>
      <c r="R259" s="68" t="str">
        <f>LEFT(P259,LEN(P259)-LEN(Q259))</f>
        <v>Validation</v>
      </c>
    </row>
    <row r="260" spans="2:18">
      <c r="B260" s="170" t="s">
        <v>2568</v>
      </c>
      <c r="C260" s="72"/>
      <c r="D260" s="70" t="s">
        <v>2569</v>
      </c>
      <c r="E260" s="73"/>
      <c r="M260" s="65" t="str">
        <f t="shared" si="17"/>
        <v/>
      </c>
      <c r="N260" s="65" t="str">
        <f t="shared" si="18"/>
        <v/>
      </c>
      <c r="P260" s="65" t="s">
        <v>93</v>
      </c>
      <c r="Q260" s="65" t="str">
        <f t="shared" si="16"/>
        <v/>
      </c>
      <c r="R260" s="68" t="str">
        <f>LEFT(P260,LEN(P260)-LEN(Q260))</f>
        <v>Documentation</v>
      </c>
    </row>
    <row r="261" spans="2:18">
      <c r="B261" s="170" t="s">
        <v>2570</v>
      </c>
      <c r="C261" s="72"/>
      <c r="D261" s="70" t="s">
        <v>2571</v>
      </c>
      <c r="E261" s="73"/>
      <c r="M261" s="65" t="str">
        <f t="shared" si="17"/>
        <v/>
      </c>
      <c r="N261" s="65" t="str">
        <f t="shared" si="18"/>
        <v/>
      </c>
      <c r="P261" s="65" t="s">
        <v>1309</v>
      </c>
      <c r="Q261" s="65" t="str">
        <f t="shared" si="16"/>
        <v/>
      </c>
      <c r="R261" s="68" t="str">
        <f>LEFT(P261,LEN(P261)-LEN(Q261))</f>
        <v>General comments</v>
      </c>
    </row>
    <row r="262" spans="2:18">
      <c r="B262" s="170" t="s">
        <v>2572</v>
      </c>
      <c r="C262" s="72"/>
      <c r="D262" s="70" t="s">
        <v>2573</v>
      </c>
      <c r="E262" s="73"/>
      <c r="M262" s="65" t="str">
        <f t="shared" si="17"/>
        <v/>
      </c>
      <c r="N262" s="65" t="str">
        <f t="shared" si="18"/>
        <v/>
      </c>
      <c r="R262" s="65"/>
    </row>
    <row r="263" spans="2:18">
      <c r="B263" s="170" t="s">
        <v>2587</v>
      </c>
      <c r="C263" s="72"/>
      <c r="D263" s="70" t="s">
        <v>2588</v>
      </c>
      <c r="E263" s="73"/>
      <c r="M263" s="65" t="str">
        <f t="shared" si="17"/>
        <v/>
      </c>
      <c r="N263" s="65" t="str">
        <f t="shared" si="18"/>
        <v/>
      </c>
      <c r="R263" s="65"/>
    </row>
    <row r="264" spans="2:18">
      <c r="B264" s="170" t="s">
        <v>2589</v>
      </c>
      <c r="C264" s="72"/>
      <c r="D264" s="70" t="s">
        <v>2590</v>
      </c>
      <c r="E264" s="73"/>
      <c r="M264" s="65" t="str">
        <f t="shared" si="17"/>
        <v/>
      </c>
      <c r="N264" s="65" t="str">
        <f t="shared" si="18"/>
        <v/>
      </c>
      <c r="R264" s="65"/>
    </row>
    <row r="265" spans="2:18">
      <c r="B265" s="170" t="s">
        <v>2591</v>
      </c>
      <c r="C265" s="72"/>
      <c r="D265" s="70" t="s">
        <v>2592</v>
      </c>
      <c r="E265" s="73"/>
      <c r="M265" s="65" t="str">
        <f t="shared" si="17"/>
        <v/>
      </c>
      <c r="N265" s="65" t="str">
        <f t="shared" si="18"/>
        <v/>
      </c>
      <c r="R265" s="65"/>
    </row>
    <row r="266" spans="2:18">
      <c r="B266" s="170" t="s">
        <v>2593</v>
      </c>
      <c r="C266" s="72"/>
      <c r="D266" s="70" t="s">
        <v>2594</v>
      </c>
      <c r="E266" s="73"/>
      <c r="M266" s="65" t="str">
        <f t="shared" si="17"/>
        <v/>
      </c>
      <c r="N266" s="65" t="str">
        <f t="shared" si="18"/>
        <v/>
      </c>
      <c r="R266" s="65"/>
    </row>
    <row r="267" spans="2:18">
      <c r="B267" s="170" t="s">
        <v>2603</v>
      </c>
      <c r="C267" s="72"/>
      <c r="D267" s="70" t="s">
        <v>2604</v>
      </c>
      <c r="E267" s="73"/>
      <c r="M267" s="65" t="str">
        <f t="shared" si="17"/>
        <v/>
      </c>
      <c r="N267" s="65" t="str">
        <f t="shared" si="18"/>
        <v/>
      </c>
      <c r="R267" s="65"/>
    </row>
    <row r="268" spans="2:18">
      <c r="B268" s="170" t="s">
        <v>2609</v>
      </c>
      <c r="C268" s="72"/>
      <c r="D268" s="70" t="s">
        <v>2610</v>
      </c>
      <c r="E268" s="73"/>
      <c r="M268" s="65" t="str">
        <f t="shared" si="17"/>
        <v/>
      </c>
      <c r="N268" s="65" t="str">
        <f t="shared" si="18"/>
        <v/>
      </c>
      <c r="R268" s="65"/>
    </row>
    <row r="269" spans="2:18">
      <c r="B269" s="170" t="s">
        <v>2613</v>
      </c>
      <c r="C269" s="72"/>
      <c r="D269" s="70" t="s">
        <v>2614</v>
      </c>
      <c r="E269" s="73"/>
      <c r="M269" s="65" t="str">
        <f t="shared" si="17"/>
        <v/>
      </c>
      <c r="N269" s="65" t="str">
        <f t="shared" si="18"/>
        <v/>
      </c>
      <c r="R269" s="65"/>
    </row>
    <row r="270" spans="2:18">
      <c r="B270" s="170" t="s">
        <v>2619</v>
      </c>
      <c r="C270" s="72"/>
      <c r="D270" s="70" t="s">
        <v>2620</v>
      </c>
      <c r="E270" s="73"/>
      <c r="M270" s="65" t="str">
        <f t="shared" si="17"/>
        <v/>
      </c>
      <c r="N270" s="65" t="str">
        <f t="shared" si="18"/>
        <v/>
      </c>
      <c r="R270" s="65"/>
    </row>
    <row r="271" spans="2:18">
      <c r="B271" s="170" t="s">
        <v>460</v>
      </c>
      <c r="C271" s="72"/>
      <c r="D271" s="70" t="s">
        <v>2625</v>
      </c>
      <c r="E271" s="73"/>
      <c r="M271" s="65" t="str">
        <f t="shared" si="17"/>
        <v/>
      </c>
      <c r="N271" s="65" t="str">
        <f t="shared" si="18"/>
        <v/>
      </c>
      <c r="R271" s="65"/>
    </row>
    <row r="272" spans="2:18">
      <c r="B272" s="170" t="s">
        <v>2626</v>
      </c>
      <c r="C272" s="72"/>
      <c r="D272" s="70" t="s">
        <v>2627</v>
      </c>
      <c r="E272" s="73"/>
      <c r="M272" s="65" t="str">
        <f t="shared" si="17"/>
        <v/>
      </c>
      <c r="N272" s="65" t="str">
        <f t="shared" si="18"/>
        <v/>
      </c>
      <c r="R272" s="65"/>
    </row>
    <row r="273" spans="2:18">
      <c r="B273" s="170" t="s">
        <v>2628</v>
      </c>
      <c r="C273" s="72"/>
      <c r="D273" s="70" t="s">
        <v>2629</v>
      </c>
      <c r="E273" s="73"/>
      <c r="M273" s="65" t="str">
        <f t="shared" si="17"/>
        <v/>
      </c>
      <c r="N273" s="65" t="str">
        <f t="shared" si="18"/>
        <v/>
      </c>
      <c r="R273" s="65"/>
    </row>
    <row r="274" spans="2:18">
      <c r="B274" s="170" t="s">
        <v>2632</v>
      </c>
      <c r="C274" s="72"/>
      <c r="D274" s="70" t="s">
        <v>2633</v>
      </c>
      <c r="E274" s="73"/>
      <c r="M274" s="65" t="str">
        <f t="shared" si="17"/>
        <v/>
      </c>
      <c r="N274" s="65" t="str">
        <f t="shared" si="18"/>
        <v/>
      </c>
      <c r="R274" s="65"/>
    </row>
    <row r="275" spans="2:18">
      <c r="B275" s="170" t="s">
        <v>2634</v>
      </c>
      <c r="C275" s="72"/>
      <c r="D275" s="70" t="s">
        <v>2635</v>
      </c>
      <c r="E275" s="73"/>
      <c r="M275" s="65" t="str">
        <f t="shared" si="17"/>
        <v/>
      </c>
      <c r="N275" s="65" t="str">
        <f t="shared" si="18"/>
        <v/>
      </c>
      <c r="R275" s="65"/>
    </row>
    <row r="276" spans="2:18">
      <c r="B276" s="170" t="s">
        <v>2640</v>
      </c>
      <c r="C276" s="72"/>
      <c r="D276" s="70" t="s">
        <v>2641</v>
      </c>
      <c r="E276" s="73"/>
      <c r="M276" s="65" t="str">
        <f t="shared" si="17"/>
        <v/>
      </c>
      <c r="N276" s="65" t="str">
        <f t="shared" si="18"/>
        <v/>
      </c>
      <c r="R276" s="65"/>
    </row>
    <row r="277" spans="2:18">
      <c r="B277" s="170" t="s">
        <v>2642</v>
      </c>
      <c r="C277" s="72"/>
      <c r="D277" s="70" t="s">
        <v>2643</v>
      </c>
      <c r="E277" s="73"/>
      <c r="M277" s="65" t="str">
        <f t="shared" si="17"/>
        <v/>
      </c>
      <c r="N277" s="65" t="str">
        <f t="shared" si="18"/>
        <v/>
      </c>
      <c r="R277" s="65"/>
    </row>
    <row r="278" spans="2:18">
      <c r="B278" s="170" t="s">
        <v>2644</v>
      </c>
      <c r="C278" s="72"/>
      <c r="D278" s="70" t="s">
        <v>2645</v>
      </c>
      <c r="E278" s="73"/>
      <c r="M278" s="65" t="str">
        <f t="shared" si="17"/>
        <v/>
      </c>
      <c r="N278" s="65" t="str">
        <f t="shared" si="18"/>
        <v/>
      </c>
      <c r="R278" s="65"/>
    </row>
    <row r="279" spans="2:18">
      <c r="B279" s="170" t="s">
        <v>2650</v>
      </c>
      <c r="C279" s="72"/>
      <c r="D279" s="70" t="s">
        <v>2651</v>
      </c>
      <c r="E279" s="73"/>
      <c r="M279" s="65" t="str">
        <f t="shared" si="17"/>
        <v/>
      </c>
      <c r="N279" s="65" t="str">
        <f t="shared" si="18"/>
        <v/>
      </c>
      <c r="R279" s="65"/>
    </row>
    <row r="280" spans="2:18">
      <c r="B280" s="170" t="s">
        <v>2654</v>
      </c>
      <c r="C280" s="72"/>
      <c r="D280" s="70" t="s">
        <v>2655</v>
      </c>
      <c r="E280" s="73"/>
      <c r="M280" s="65" t="str">
        <f t="shared" si="17"/>
        <v/>
      </c>
      <c r="N280" s="65" t="str">
        <f t="shared" si="18"/>
        <v/>
      </c>
      <c r="R280" s="65"/>
    </row>
    <row r="281" spans="2:18">
      <c r="B281" s="170" t="s">
        <v>2666</v>
      </c>
      <c r="C281" s="72"/>
      <c r="D281" s="70" t="s">
        <v>2667</v>
      </c>
      <c r="E281" s="73"/>
      <c r="M281" s="65" t="str">
        <f t="shared" si="17"/>
        <v/>
      </c>
      <c r="N281" s="65" t="str">
        <f t="shared" si="18"/>
        <v/>
      </c>
      <c r="R281" s="65"/>
    </row>
    <row r="282" spans="2:18">
      <c r="B282" s="170" t="s">
        <v>2678</v>
      </c>
      <c r="C282" s="72"/>
      <c r="D282" s="70" t="s">
        <v>2679</v>
      </c>
      <c r="E282" s="73"/>
      <c r="M282" s="65" t="str">
        <f t="shared" si="17"/>
        <v/>
      </c>
      <c r="N282" s="65" t="str">
        <f t="shared" si="18"/>
        <v/>
      </c>
      <c r="R282" s="65"/>
    </row>
    <row r="283" spans="2:18">
      <c r="B283" s="170" t="s">
        <v>2683</v>
      </c>
      <c r="C283" s="72"/>
      <c r="D283" s="70" t="s">
        <v>2684</v>
      </c>
      <c r="E283" s="73"/>
      <c r="M283" s="65" t="str">
        <f t="shared" si="17"/>
        <v/>
      </c>
      <c r="N283" s="65" t="str">
        <f t="shared" si="18"/>
        <v/>
      </c>
      <c r="R283" s="65"/>
    </row>
    <row r="284" spans="2:18">
      <c r="B284" s="170" t="s">
        <v>2699</v>
      </c>
      <c r="C284" s="72"/>
      <c r="D284" s="70" t="s">
        <v>2700</v>
      </c>
      <c r="E284" s="73"/>
      <c r="M284" s="65" t="str">
        <f t="shared" si="17"/>
        <v/>
      </c>
      <c r="N284" s="65" t="str">
        <f t="shared" si="18"/>
        <v/>
      </c>
      <c r="R284" s="65"/>
    </row>
    <row r="285" spans="2:18">
      <c r="B285" s="170" t="s">
        <v>2703</v>
      </c>
      <c r="C285" s="72"/>
      <c r="D285" s="70" t="s">
        <v>2704</v>
      </c>
      <c r="E285" s="73"/>
      <c r="M285" s="65" t="str">
        <f t="shared" si="17"/>
        <v/>
      </c>
      <c r="N285" s="65" t="str">
        <f t="shared" si="18"/>
        <v/>
      </c>
      <c r="R285" s="65"/>
    </row>
    <row r="286" spans="2:18">
      <c r="B286" s="170" t="s">
        <v>2713</v>
      </c>
      <c r="C286" s="72"/>
      <c r="D286" s="70" t="s">
        <v>2714</v>
      </c>
      <c r="E286" s="73"/>
      <c r="M286" s="65" t="str">
        <f t="shared" si="17"/>
        <v/>
      </c>
      <c r="N286" s="65" t="str">
        <f t="shared" si="18"/>
        <v/>
      </c>
      <c r="R286" s="65"/>
    </row>
    <row r="287" spans="2:18">
      <c r="B287" s="170" t="s">
        <v>2734</v>
      </c>
      <c r="C287" s="72"/>
      <c r="D287" s="70" t="s">
        <v>2735</v>
      </c>
      <c r="E287" s="73"/>
      <c r="M287" s="65" t="str">
        <f t="shared" si="17"/>
        <v/>
      </c>
      <c r="N287" s="65" t="str">
        <f t="shared" si="18"/>
        <v/>
      </c>
      <c r="R287" s="65"/>
    </row>
    <row r="288" spans="2:18">
      <c r="B288" s="170" t="s">
        <v>2736</v>
      </c>
      <c r="C288" s="72"/>
      <c r="D288" s="70" t="s">
        <v>1002</v>
      </c>
      <c r="E288" s="73"/>
      <c r="M288" s="65" t="str">
        <f t="shared" si="17"/>
        <v/>
      </c>
      <c r="N288" s="65" t="str">
        <f t="shared" si="18"/>
        <v/>
      </c>
      <c r="R288" s="65"/>
    </row>
    <row r="289" spans="2:18">
      <c r="B289" s="170" t="s">
        <v>2743</v>
      </c>
      <c r="C289" s="72"/>
      <c r="D289" s="70" t="s">
        <v>2744</v>
      </c>
      <c r="E289" s="73"/>
      <c r="M289" s="65" t="str">
        <f t="shared" si="17"/>
        <v/>
      </c>
      <c r="N289" s="65" t="str">
        <f t="shared" si="18"/>
        <v/>
      </c>
      <c r="R289" s="65"/>
    </row>
    <row r="290" spans="2:18">
      <c r="B290" s="170" t="s">
        <v>2745</v>
      </c>
      <c r="C290" s="72"/>
      <c r="D290" s="70" t="s">
        <v>2746</v>
      </c>
      <c r="E290" s="73"/>
      <c r="M290" s="65" t="str">
        <f t="shared" si="17"/>
        <v/>
      </c>
      <c r="N290" s="65" t="str">
        <f t="shared" si="18"/>
        <v/>
      </c>
      <c r="R290" s="65"/>
    </row>
    <row r="291" spans="2:18">
      <c r="B291" s="170" t="s">
        <v>599</v>
      </c>
      <c r="C291" s="72"/>
      <c r="D291" s="70" t="s">
        <v>2747</v>
      </c>
      <c r="E291" s="73"/>
      <c r="M291" s="65" t="str">
        <f t="shared" si="17"/>
        <v/>
      </c>
      <c r="N291" s="65" t="str">
        <f t="shared" si="18"/>
        <v/>
      </c>
      <c r="R291" s="65"/>
    </row>
    <row r="292" spans="2:18">
      <c r="B292" s="170" t="s">
        <v>2748</v>
      </c>
      <c r="C292" s="72"/>
      <c r="D292" s="70" t="s">
        <v>2749</v>
      </c>
      <c r="E292" s="73"/>
      <c r="M292" s="65" t="str">
        <f t="shared" si="17"/>
        <v/>
      </c>
      <c r="N292" s="65" t="str">
        <f t="shared" si="18"/>
        <v/>
      </c>
      <c r="R292" s="65"/>
    </row>
    <row r="293" spans="2:18">
      <c r="B293" s="170" t="s">
        <v>2760</v>
      </c>
      <c r="C293" s="72"/>
      <c r="D293" s="70" t="s">
        <v>2761</v>
      </c>
      <c r="E293" s="73"/>
      <c r="M293" s="65" t="str">
        <f t="shared" si="17"/>
        <v/>
      </c>
      <c r="N293" s="65" t="str">
        <f t="shared" si="18"/>
        <v/>
      </c>
      <c r="R293" s="65"/>
    </row>
    <row r="294" spans="2:18">
      <c r="B294" s="170" t="s">
        <v>2762</v>
      </c>
      <c r="C294" s="72"/>
      <c r="D294" s="70" t="s">
        <v>2763</v>
      </c>
      <c r="E294" s="73"/>
      <c r="M294" s="65" t="str">
        <f t="shared" si="17"/>
        <v/>
      </c>
      <c r="N294" s="65" t="str">
        <f t="shared" si="18"/>
        <v/>
      </c>
      <c r="R294" s="65"/>
    </row>
    <row r="295" spans="2:18">
      <c r="B295" s="170" t="s">
        <v>2764</v>
      </c>
      <c r="C295" s="72"/>
      <c r="D295" s="70" t="s">
        <v>2765</v>
      </c>
      <c r="E295" s="73"/>
      <c r="M295" s="65" t="str">
        <f t="shared" si="17"/>
        <v/>
      </c>
      <c r="N295" s="65" t="str">
        <f t="shared" si="18"/>
        <v/>
      </c>
      <c r="R295" s="65"/>
    </row>
    <row r="296" spans="2:18">
      <c r="B296" s="170" t="s">
        <v>2766</v>
      </c>
      <c r="C296" s="72"/>
      <c r="D296" s="70" t="s">
        <v>2767</v>
      </c>
      <c r="E296" s="73"/>
      <c r="M296" s="65" t="str">
        <f t="shared" si="17"/>
        <v/>
      </c>
      <c r="N296" s="65" t="str">
        <f t="shared" si="18"/>
        <v/>
      </c>
      <c r="R296" s="65"/>
    </row>
    <row r="297" spans="2:18">
      <c r="B297" s="170" t="s">
        <v>2772</v>
      </c>
      <c r="C297" s="72"/>
      <c r="D297" s="70" t="s">
        <v>2773</v>
      </c>
      <c r="E297" s="73"/>
      <c r="M297" s="65" t="str">
        <f t="shared" si="17"/>
        <v/>
      </c>
      <c r="N297" s="65" t="str">
        <f t="shared" si="18"/>
        <v/>
      </c>
      <c r="R297" s="65"/>
    </row>
    <row r="298" spans="2:18">
      <c r="B298" s="170" t="s">
        <v>2779</v>
      </c>
      <c r="C298" s="72"/>
      <c r="D298" s="70" t="s">
        <v>2780</v>
      </c>
      <c r="E298" s="73"/>
      <c r="M298" s="65" t="str">
        <f t="shared" si="17"/>
        <v/>
      </c>
      <c r="N298" s="65" t="str">
        <f t="shared" si="18"/>
        <v/>
      </c>
      <c r="R298" s="65"/>
    </row>
    <row r="299" spans="2:18">
      <c r="B299" s="170" t="s">
        <v>2797</v>
      </c>
      <c r="C299" s="72"/>
      <c r="D299" s="70" t="s">
        <v>2798</v>
      </c>
      <c r="E299" s="73"/>
      <c r="M299" s="65" t="str">
        <f t="shared" si="17"/>
        <v/>
      </c>
      <c r="N299" s="65" t="str">
        <f t="shared" si="18"/>
        <v/>
      </c>
      <c r="R299" s="65"/>
    </row>
    <row r="300" spans="2:18">
      <c r="B300" s="170" t="s">
        <v>2803</v>
      </c>
      <c r="C300" s="72"/>
      <c r="D300" s="70" t="s">
        <v>2804</v>
      </c>
      <c r="E300" s="73"/>
      <c r="M300" s="65" t="str">
        <f t="shared" si="17"/>
        <v/>
      </c>
      <c r="N300" s="65" t="str">
        <f t="shared" si="18"/>
        <v/>
      </c>
      <c r="R300" s="65"/>
    </row>
    <row r="301" spans="2:18" ht="38.25">
      <c r="B301" s="170" t="s">
        <v>254</v>
      </c>
      <c r="C301" s="69" t="s">
        <v>255</v>
      </c>
      <c r="D301" s="70" t="s">
        <v>256</v>
      </c>
      <c r="E301" s="71"/>
      <c r="M301" s="65" t="str">
        <f t="shared" si="17"/>
        <v/>
      </c>
      <c r="N301" s="65" t="str">
        <f t="shared" si="18"/>
        <v/>
      </c>
      <c r="R301" s="65"/>
    </row>
    <row r="302" spans="2:18" ht="15">
      <c r="B302" s="170" t="s">
        <v>260</v>
      </c>
      <c r="C302" s="69" t="s">
        <v>261</v>
      </c>
      <c r="D302" s="70" t="s">
        <v>262</v>
      </c>
      <c r="E302" s="71"/>
      <c r="M302" s="65" t="str">
        <f t="shared" si="17"/>
        <v/>
      </c>
      <c r="N302" s="65" t="str">
        <f t="shared" si="18"/>
        <v/>
      </c>
      <c r="R302" s="65"/>
    </row>
    <row r="303" spans="2:18" ht="25.5">
      <c r="B303" s="170" t="s">
        <v>265</v>
      </c>
      <c r="C303" s="69" t="s">
        <v>266</v>
      </c>
      <c r="D303" s="70" t="s">
        <v>267</v>
      </c>
      <c r="E303" s="71"/>
      <c r="M303" s="65" t="str">
        <f t="shared" si="17"/>
        <v/>
      </c>
      <c r="N303" s="65" t="str">
        <f t="shared" si="18"/>
        <v/>
      </c>
      <c r="R303" s="65"/>
    </row>
    <row r="304" spans="2:18" ht="25.5">
      <c r="B304" s="170" t="s">
        <v>270</v>
      </c>
      <c r="C304" s="69" t="s">
        <v>271</v>
      </c>
      <c r="D304" s="70" t="s">
        <v>272</v>
      </c>
      <c r="E304" s="71"/>
      <c r="M304" s="65" t="str">
        <f t="shared" si="17"/>
        <v/>
      </c>
      <c r="N304" s="65" t="str">
        <f t="shared" si="18"/>
        <v/>
      </c>
      <c r="R304" s="65"/>
    </row>
    <row r="305" spans="2:18" ht="15">
      <c r="B305" s="170" t="s">
        <v>275</v>
      </c>
      <c r="C305" s="69" t="s">
        <v>276</v>
      </c>
      <c r="D305" s="70" t="s">
        <v>277</v>
      </c>
      <c r="E305" s="71"/>
      <c r="M305" s="65" t="str">
        <f t="shared" si="17"/>
        <v/>
      </c>
      <c r="N305" s="65" t="str">
        <f t="shared" si="18"/>
        <v/>
      </c>
      <c r="R305" s="65"/>
    </row>
    <row r="306" spans="2:18" ht="25.5">
      <c r="B306" s="170" t="s">
        <v>280</v>
      </c>
      <c r="C306" s="69" t="s">
        <v>281</v>
      </c>
      <c r="D306" s="70" t="s">
        <v>282</v>
      </c>
      <c r="E306" s="71"/>
      <c r="M306" s="65" t="str">
        <f t="shared" si="17"/>
        <v/>
      </c>
      <c r="N306" s="65" t="str">
        <f t="shared" si="18"/>
        <v/>
      </c>
      <c r="R306" s="65"/>
    </row>
    <row r="307" spans="2:18" ht="25.5">
      <c r="B307" s="170" t="s">
        <v>286</v>
      </c>
      <c r="C307" s="69" t="s">
        <v>287</v>
      </c>
      <c r="D307" s="70" t="s">
        <v>288</v>
      </c>
      <c r="E307" s="71"/>
      <c r="M307" s="65" t="str">
        <f t="shared" si="17"/>
        <v/>
      </c>
      <c r="N307" s="65" t="str">
        <f t="shared" si="18"/>
        <v/>
      </c>
      <c r="R307" s="65"/>
    </row>
    <row r="308" spans="2:18" ht="15">
      <c r="B308" s="170" t="s">
        <v>292</v>
      </c>
      <c r="C308" s="72" t="s">
        <v>293</v>
      </c>
      <c r="D308" s="70" t="s">
        <v>294</v>
      </c>
      <c r="E308" s="71"/>
      <c r="M308" s="65" t="str">
        <f t="shared" si="17"/>
        <v/>
      </c>
      <c r="N308" s="65" t="str">
        <f t="shared" si="18"/>
        <v/>
      </c>
      <c r="R308" s="65"/>
    </row>
    <row r="309" spans="2:18" ht="15">
      <c r="B309" s="170" t="s">
        <v>298</v>
      </c>
      <c r="C309" s="69" t="s">
        <v>299</v>
      </c>
      <c r="D309" s="70" t="s">
        <v>300</v>
      </c>
      <c r="E309" s="71"/>
      <c r="M309" s="65" t="str">
        <f t="shared" si="17"/>
        <v/>
      </c>
      <c r="N309" s="65" t="str">
        <f t="shared" si="18"/>
        <v/>
      </c>
      <c r="R309" s="65"/>
    </row>
    <row r="310" spans="2:18" ht="15">
      <c r="B310" s="170" t="s">
        <v>304</v>
      </c>
      <c r="C310" s="69" t="s">
        <v>305</v>
      </c>
      <c r="D310" s="70" t="s">
        <v>306</v>
      </c>
      <c r="E310" s="71"/>
      <c r="M310" s="65" t="str">
        <f t="shared" si="17"/>
        <v/>
      </c>
      <c r="N310" s="65" t="str">
        <f t="shared" si="18"/>
        <v/>
      </c>
      <c r="R310" s="65"/>
    </row>
    <row r="311" spans="2:18" ht="15">
      <c r="B311" s="170" t="s">
        <v>310</v>
      </c>
      <c r="C311" s="69" t="s">
        <v>311</v>
      </c>
      <c r="D311" s="70" t="s">
        <v>312</v>
      </c>
      <c r="E311" s="71"/>
      <c r="M311" s="65" t="str">
        <f t="shared" si="17"/>
        <v/>
      </c>
      <c r="N311" s="65" t="str">
        <f t="shared" si="18"/>
        <v/>
      </c>
      <c r="R311" s="65"/>
    </row>
    <row r="312" spans="2:18" ht="15">
      <c r="B312" s="170" t="s">
        <v>316</v>
      </c>
      <c r="C312" s="69" t="s">
        <v>317</v>
      </c>
      <c r="D312" s="70" t="s">
        <v>318</v>
      </c>
      <c r="E312" s="71"/>
      <c r="M312" s="65" t="str">
        <f t="shared" si="17"/>
        <v/>
      </c>
      <c r="N312" s="65" t="str">
        <f t="shared" si="18"/>
        <v/>
      </c>
      <c r="R312" s="65"/>
    </row>
    <row r="313" spans="2:18" ht="15">
      <c r="B313" s="170" t="s">
        <v>322</v>
      </c>
      <c r="C313" s="69" t="s">
        <v>323</v>
      </c>
      <c r="D313" s="70" t="s">
        <v>324</v>
      </c>
      <c r="E313" s="71"/>
      <c r="M313" s="65" t="str">
        <f t="shared" si="17"/>
        <v/>
      </c>
      <c r="N313" s="65" t="str">
        <f t="shared" si="18"/>
        <v/>
      </c>
      <c r="R313" s="65"/>
    </row>
    <row r="314" spans="2:18" ht="15">
      <c r="B314" s="170" t="s">
        <v>328</v>
      </c>
      <c r="C314" s="69" t="s">
        <v>329</v>
      </c>
      <c r="D314" s="70" t="s">
        <v>330</v>
      </c>
      <c r="E314" s="71"/>
      <c r="M314" s="65" t="str">
        <f t="shared" si="17"/>
        <v/>
      </c>
      <c r="N314" s="65" t="str">
        <f t="shared" si="18"/>
        <v/>
      </c>
      <c r="R314" s="65"/>
    </row>
    <row r="315" spans="2:18" ht="15">
      <c r="B315" s="170" t="s">
        <v>334</v>
      </c>
      <c r="C315" s="69" t="s">
        <v>335</v>
      </c>
      <c r="D315" s="70" t="s">
        <v>336</v>
      </c>
      <c r="E315" s="71"/>
      <c r="M315" s="65" t="str">
        <f t="shared" si="17"/>
        <v/>
      </c>
      <c r="N315" s="65" t="str">
        <f t="shared" si="18"/>
        <v/>
      </c>
      <c r="R315" s="65"/>
    </row>
    <row r="316" spans="2:18" ht="15">
      <c r="B316" s="170" t="s">
        <v>340</v>
      </c>
      <c r="C316" s="69" t="s">
        <v>341</v>
      </c>
      <c r="D316" s="70" t="s">
        <v>342</v>
      </c>
      <c r="E316" s="71"/>
      <c r="M316" s="65" t="str">
        <f t="shared" si="17"/>
        <v/>
      </c>
      <c r="N316" s="65" t="str">
        <f t="shared" si="18"/>
        <v/>
      </c>
      <c r="R316" s="65"/>
    </row>
    <row r="317" spans="2:18" ht="15">
      <c r="B317" s="170" t="s">
        <v>345</v>
      </c>
      <c r="C317" s="69" t="s">
        <v>346</v>
      </c>
      <c r="D317" s="70" t="s">
        <v>347</v>
      </c>
      <c r="E317" s="71"/>
      <c r="M317" s="65" t="str">
        <f t="shared" si="17"/>
        <v/>
      </c>
      <c r="N317" s="65" t="str">
        <f t="shared" si="18"/>
        <v/>
      </c>
      <c r="R317" s="65"/>
    </row>
    <row r="318" spans="2:18" ht="15">
      <c r="B318" s="170" t="s">
        <v>350</v>
      </c>
      <c r="C318" s="69" t="s">
        <v>331</v>
      </c>
      <c r="D318" s="70" t="s">
        <v>351</v>
      </c>
      <c r="E318" s="71"/>
      <c r="M318" s="65" t="str">
        <f t="shared" si="17"/>
        <v/>
      </c>
      <c r="N318" s="65" t="str">
        <f t="shared" si="18"/>
        <v/>
      </c>
      <c r="R318" s="65"/>
    </row>
    <row r="319" spans="2:18" ht="15">
      <c r="B319" s="170" t="s">
        <v>354</v>
      </c>
      <c r="C319" s="69" t="s">
        <v>355</v>
      </c>
      <c r="D319" s="70" t="s">
        <v>356</v>
      </c>
      <c r="E319" s="71"/>
      <c r="M319" s="65" t="str">
        <f t="shared" si="17"/>
        <v/>
      </c>
      <c r="N319" s="65" t="str">
        <f t="shared" si="18"/>
        <v/>
      </c>
      <c r="R319" s="65"/>
    </row>
    <row r="320" spans="2:18" ht="15">
      <c r="B320" s="170" t="s">
        <v>358</v>
      </c>
      <c r="C320" s="69" t="s">
        <v>359</v>
      </c>
      <c r="D320" s="70" t="s">
        <v>360</v>
      </c>
      <c r="E320" s="71"/>
      <c r="M320" s="65" t="str">
        <f t="shared" si="17"/>
        <v/>
      </c>
      <c r="N320" s="65" t="str">
        <f t="shared" si="18"/>
        <v/>
      </c>
      <c r="R320" s="65"/>
    </row>
    <row r="321" spans="2:18" ht="15">
      <c r="B321" s="170" t="s">
        <v>364</v>
      </c>
      <c r="C321" s="69" t="s">
        <v>365</v>
      </c>
      <c r="D321" s="70" t="s">
        <v>366</v>
      </c>
      <c r="E321" s="71"/>
      <c r="M321" s="65" t="str">
        <f t="shared" si="17"/>
        <v/>
      </c>
      <c r="N321" s="65" t="str">
        <f t="shared" si="18"/>
        <v/>
      </c>
      <c r="R321" s="65"/>
    </row>
    <row r="322" spans="2:18" ht="15">
      <c r="B322" s="170" t="s">
        <v>369</v>
      </c>
      <c r="C322" s="69" t="s">
        <v>370</v>
      </c>
      <c r="D322" s="70" t="s">
        <v>371</v>
      </c>
      <c r="E322" s="71"/>
      <c r="M322" s="65" t="str">
        <f t="shared" si="17"/>
        <v/>
      </c>
      <c r="N322" s="65" t="str">
        <f t="shared" si="18"/>
        <v/>
      </c>
      <c r="R322" s="65"/>
    </row>
    <row r="323" spans="2:18" ht="15">
      <c r="B323" s="170" t="s">
        <v>374</v>
      </c>
      <c r="C323" s="69" t="s">
        <v>337</v>
      </c>
      <c r="D323" s="70" t="s">
        <v>375</v>
      </c>
      <c r="E323" s="71"/>
      <c r="M323" s="65" t="str">
        <f t="shared" ref="M323:M386" si="19">IF(ISERROR(FIND("=",P323)),"",RIGHT(P323,LEN(P323)-FIND("=",P323)+3))</f>
        <v/>
      </c>
      <c r="N323" s="65" t="str">
        <f t="shared" ref="N323:N386" si="20">IF(ISERROR(FIND(" (include",P323)),"",RIGHT(P323,LEN(P323)-FIND(" (include",P323)))</f>
        <v/>
      </c>
      <c r="R323" s="65"/>
    </row>
    <row r="324" spans="2:18" ht="15">
      <c r="B324" s="170" t="s">
        <v>378</v>
      </c>
      <c r="C324" s="69" t="s">
        <v>379</v>
      </c>
      <c r="D324" s="70" t="s">
        <v>380</v>
      </c>
      <c r="E324" s="71"/>
      <c r="M324" s="65" t="str">
        <f t="shared" si="19"/>
        <v/>
      </c>
      <c r="N324" s="65" t="str">
        <f t="shared" si="20"/>
        <v/>
      </c>
      <c r="R324" s="65"/>
    </row>
    <row r="325" spans="2:18" ht="15">
      <c r="B325" s="170" t="s">
        <v>383</v>
      </c>
      <c r="C325" s="69" t="s">
        <v>384</v>
      </c>
      <c r="D325" s="70" t="s">
        <v>385</v>
      </c>
      <c r="E325" s="71"/>
      <c r="M325" s="65" t="str">
        <f t="shared" si="19"/>
        <v/>
      </c>
      <c r="N325" s="65" t="str">
        <f t="shared" si="20"/>
        <v/>
      </c>
      <c r="R325" s="65"/>
    </row>
    <row r="326" spans="2:18" ht="15">
      <c r="B326" s="170" t="s">
        <v>388</v>
      </c>
      <c r="C326" s="73" t="s">
        <v>263</v>
      </c>
      <c r="D326" s="73" t="s">
        <v>389</v>
      </c>
      <c r="E326" s="71"/>
      <c r="M326" s="65" t="str">
        <f t="shared" si="19"/>
        <v/>
      </c>
      <c r="N326" s="65" t="str">
        <f t="shared" si="20"/>
        <v/>
      </c>
      <c r="R326" s="65"/>
    </row>
    <row r="327" spans="2:18" ht="15">
      <c r="B327" s="170" t="s">
        <v>392</v>
      </c>
      <c r="C327" s="69" t="s">
        <v>273</v>
      </c>
      <c r="D327" s="70" t="s">
        <v>393</v>
      </c>
      <c r="E327" s="71"/>
      <c r="M327" s="65" t="str">
        <f t="shared" si="19"/>
        <v/>
      </c>
      <c r="N327" s="65" t="str">
        <f t="shared" si="20"/>
        <v/>
      </c>
      <c r="R327" s="65"/>
    </row>
    <row r="328" spans="2:18" ht="15">
      <c r="B328" s="170" t="s">
        <v>396</v>
      </c>
      <c r="C328" s="73" t="s">
        <v>257</v>
      </c>
      <c r="D328" s="73" t="s">
        <v>397</v>
      </c>
      <c r="E328" s="71"/>
      <c r="M328" s="65" t="str">
        <f t="shared" si="19"/>
        <v/>
      </c>
      <c r="N328" s="65" t="str">
        <f t="shared" si="20"/>
        <v/>
      </c>
      <c r="R328" s="65"/>
    </row>
    <row r="329" spans="2:18" ht="15">
      <c r="B329" s="170" t="s">
        <v>400</v>
      </c>
      <c r="C329" s="69" t="s">
        <v>401</v>
      </c>
      <c r="D329" s="70" t="s">
        <v>402</v>
      </c>
      <c r="E329" s="71"/>
      <c r="M329" s="65" t="str">
        <f t="shared" si="19"/>
        <v/>
      </c>
      <c r="N329" s="65" t="str">
        <f t="shared" si="20"/>
        <v/>
      </c>
      <c r="R329" s="65"/>
    </row>
    <row r="330" spans="2:18" ht="15">
      <c r="B330" s="170" t="s">
        <v>404</v>
      </c>
      <c r="C330" s="69" t="s">
        <v>289</v>
      </c>
      <c r="D330" s="70" t="s">
        <v>405</v>
      </c>
      <c r="E330" s="71"/>
      <c r="M330" s="65" t="str">
        <f t="shared" si="19"/>
        <v/>
      </c>
      <c r="N330" s="65" t="str">
        <f t="shared" si="20"/>
        <v/>
      </c>
      <c r="R330" s="65"/>
    </row>
    <row r="331" spans="2:18" ht="15">
      <c r="B331" s="170" t="s">
        <v>409</v>
      </c>
      <c r="C331" s="69" t="s">
        <v>278</v>
      </c>
      <c r="D331" s="70" t="s">
        <v>410</v>
      </c>
      <c r="E331" s="71"/>
      <c r="M331" s="65" t="str">
        <f t="shared" si="19"/>
        <v/>
      </c>
      <c r="N331" s="65" t="str">
        <f t="shared" si="20"/>
        <v/>
      </c>
      <c r="R331" s="65"/>
    </row>
    <row r="332" spans="2:18" ht="15">
      <c r="B332" s="170" t="s">
        <v>414</v>
      </c>
      <c r="C332" s="69" t="s">
        <v>411</v>
      </c>
      <c r="D332" s="70" t="s">
        <v>415</v>
      </c>
      <c r="E332" s="71"/>
      <c r="M332" s="65" t="str">
        <f t="shared" si="19"/>
        <v/>
      </c>
      <c r="N332" s="65" t="str">
        <f t="shared" si="20"/>
        <v/>
      </c>
      <c r="R332" s="65"/>
    </row>
    <row r="333" spans="2:18" ht="15">
      <c r="B333" s="170" t="s">
        <v>419</v>
      </c>
      <c r="C333" s="69" t="s">
        <v>416</v>
      </c>
      <c r="D333" s="70" t="s">
        <v>420</v>
      </c>
      <c r="E333" s="71"/>
      <c r="M333" s="65" t="str">
        <f t="shared" si="19"/>
        <v/>
      </c>
      <c r="N333" s="65" t="str">
        <f t="shared" si="20"/>
        <v/>
      </c>
      <c r="R333" s="65"/>
    </row>
    <row r="334" spans="2:18" ht="15">
      <c r="B334" s="170" t="s">
        <v>423</v>
      </c>
      <c r="C334" s="70" t="s">
        <v>283</v>
      </c>
      <c r="D334" s="70" t="s">
        <v>424</v>
      </c>
      <c r="E334" s="71"/>
      <c r="M334" s="65" t="str">
        <f t="shared" si="19"/>
        <v/>
      </c>
      <c r="N334" s="65" t="str">
        <f t="shared" si="20"/>
        <v/>
      </c>
      <c r="R334" s="65"/>
    </row>
    <row r="335" spans="2:18" ht="15">
      <c r="B335" s="170" t="s">
        <v>427</v>
      </c>
      <c r="C335" s="69" t="s">
        <v>295</v>
      </c>
      <c r="D335" s="70" t="s">
        <v>428</v>
      </c>
      <c r="E335" s="71"/>
      <c r="M335" s="65" t="str">
        <f t="shared" si="19"/>
        <v/>
      </c>
      <c r="N335" s="65" t="str">
        <f t="shared" si="20"/>
        <v/>
      </c>
      <c r="R335" s="65"/>
    </row>
    <row r="336" spans="2:18" ht="15">
      <c r="B336" s="170" t="s">
        <v>431</v>
      </c>
      <c r="C336" s="69" t="s">
        <v>301</v>
      </c>
      <c r="D336" s="70" t="s">
        <v>432</v>
      </c>
      <c r="E336" s="71"/>
      <c r="M336" s="65" t="str">
        <f t="shared" si="19"/>
        <v/>
      </c>
      <c r="N336" s="65" t="str">
        <f t="shared" si="20"/>
        <v/>
      </c>
      <c r="R336" s="65"/>
    </row>
    <row r="337" spans="2:18" ht="15">
      <c r="B337" s="170" t="s">
        <v>435</v>
      </c>
      <c r="C337" s="69" t="s">
        <v>307</v>
      </c>
      <c r="D337" s="70" t="s">
        <v>436</v>
      </c>
      <c r="E337" s="71"/>
      <c r="M337" s="65" t="str">
        <f t="shared" si="19"/>
        <v/>
      </c>
      <c r="N337" s="65" t="str">
        <f t="shared" si="20"/>
        <v/>
      </c>
      <c r="R337" s="65"/>
    </row>
    <row r="338" spans="2:18" ht="15">
      <c r="B338" s="170" t="s">
        <v>439</v>
      </c>
      <c r="C338" s="69" t="s">
        <v>313</v>
      </c>
      <c r="D338" s="70" t="s">
        <v>440</v>
      </c>
      <c r="E338" s="71"/>
      <c r="M338" s="65" t="str">
        <f t="shared" si="19"/>
        <v/>
      </c>
      <c r="N338" s="65" t="str">
        <f t="shared" si="20"/>
        <v/>
      </c>
      <c r="R338" s="65"/>
    </row>
    <row r="339" spans="2:18" ht="15">
      <c r="B339" s="170" t="s">
        <v>443</v>
      </c>
      <c r="C339" s="69" t="s">
        <v>406</v>
      </c>
      <c r="D339" s="70" t="s">
        <v>444</v>
      </c>
      <c r="E339" s="71"/>
      <c r="M339" s="65" t="str">
        <f t="shared" si="19"/>
        <v/>
      </c>
      <c r="N339" s="65" t="str">
        <f t="shared" si="20"/>
        <v/>
      </c>
      <c r="R339" s="65"/>
    </row>
    <row r="340" spans="2:18" ht="38.25">
      <c r="B340" s="170" t="s">
        <v>448</v>
      </c>
      <c r="C340" s="69" t="s">
        <v>325</v>
      </c>
      <c r="D340" s="70" t="s">
        <v>449</v>
      </c>
      <c r="E340" s="71"/>
      <c r="M340" s="65" t="str">
        <f t="shared" si="19"/>
        <v/>
      </c>
      <c r="N340" s="65" t="str">
        <f t="shared" si="20"/>
        <v/>
      </c>
      <c r="R340" s="65"/>
    </row>
    <row r="341" spans="2:18" ht="15">
      <c r="B341" s="170" t="s">
        <v>452</v>
      </c>
      <c r="C341" s="69" t="s">
        <v>319</v>
      </c>
      <c r="D341" s="70" t="s">
        <v>453</v>
      </c>
      <c r="E341" s="71"/>
      <c r="M341" s="65" t="str">
        <f t="shared" si="19"/>
        <v/>
      </c>
      <c r="N341" s="65" t="str">
        <f t="shared" si="20"/>
        <v/>
      </c>
      <c r="R341" s="65"/>
    </row>
    <row r="342" spans="2:18" ht="15">
      <c r="B342" s="170" t="s">
        <v>461</v>
      </c>
      <c r="C342" s="69" t="s">
        <v>462</v>
      </c>
      <c r="D342" s="70" t="s">
        <v>463</v>
      </c>
      <c r="E342" s="71"/>
      <c r="M342" s="65" t="str">
        <f t="shared" si="19"/>
        <v/>
      </c>
      <c r="N342" s="65" t="str">
        <f t="shared" si="20"/>
        <v/>
      </c>
      <c r="R342" s="65"/>
    </row>
    <row r="343" spans="2:18" ht="15">
      <c r="B343" s="170" t="s">
        <v>467</v>
      </c>
      <c r="C343" s="69" t="s">
        <v>468</v>
      </c>
      <c r="D343" s="70" t="s">
        <v>469</v>
      </c>
      <c r="E343" s="71"/>
      <c r="M343" s="65" t="str">
        <f t="shared" si="19"/>
        <v/>
      </c>
      <c r="N343" s="65" t="str">
        <f t="shared" si="20"/>
        <v/>
      </c>
      <c r="R343" s="65"/>
    </row>
    <row r="344" spans="2:18" ht="15">
      <c r="B344" s="170" t="s">
        <v>473</v>
      </c>
      <c r="C344" s="69" t="s">
        <v>445</v>
      </c>
      <c r="D344" s="70" t="s">
        <v>474</v>
      </c>
      <c r="E344" s="71"/>
      <c r="M344" s="65" t="str">
        <f t="shared" si="19"/>
        <v/>
      </c>
      <c r="N344" s="65" t="str">
        <f t="shared" si="20"/>
        <v/>
      </c>
      <c r="R344" s="65"/>
    </row>
    <row r="345" spans="2:18" ht="15">
      <c r="B345" s="170" t="s">
        <v>478</v>
      </c>
      <c r="C345" s="69" t="s">
        <v>470</v>
      </c>
      <c r="D345" s="70" t="s">
        <v>479</v>
      </c>
      <c r="E345" s="71"/>
      <c r="M345" s="65" t="str">
        <f t="shared" si="19"/>
        <v/>
      </c>
      <c r="N345" s="65" t="str">
        <f t="shared" si="20"/>
        <v/>
      </c>
      <c r="R345" s="65"/>
    </row>
    <row r="346" spans="2:18" ht="15">
      <c r="B346" s="170" t="s">
        <v>478</v>
      </c>
      <c r="C346" s="69" t="s">
        <v>475</v>
      </c>
      <c r="D346" s="70" t="s">
        <v>479</v>
      </c>
      <c r="E346" s="71"/>
      <c r="M346" s="65" t="str">
        <f t="shared" si="19"/>
        <v/>
      </c>
      <c r="N346" s="65" t="str">
        <f t="shared" si="20"/>
        <v/>
      </c>
      <c r="R346" s="65"/>
    </row>
    <row r="347" spans="2:18" ht="15">
      <c r="B347" s="170" t="s">
        <v>485</v>
      </c>
      <c r="C347" s="69" t="s">
        <v>482</v>
      </c>
      <c r="D347" s="70" t="s">
        <v>486</v>
      </c>
      <c r="E347" s="71"/>
      <c r="M347" s="65" t="str">
        <f t="shared" si="19"/>
        <v/>
      </c>
      <c r="N347" s="65" t="str">
        <f t="shared" si="20"/>
        <v/>
      </c>
      <c r="R347" s="65"/>
    </row>
    <row r="348" spans="2:18" ht="15">
      <c r="B348" s="170" t="s">
        <v>485</v>
      </c>
      <c r="C348" s="69" t="s">
        <v>487</v>
      </c>
      <c r="D348" s="70" t="s">
        <v>486</v>
      </c>
      <c r="E348" s="71"/>
      <c r="M348" s="65" t="str">
        <f t="shared" si="19"/>
        <v/>
      </c>
      <c r="N348" s="65" t="str">
        <f t="shared" si="20"/>
        <v/>
      </c>
      <c r="R348" s="65"/>
    </row>
    <row r="349" spans="2:18" ht="15">
      <c r="B349" s="170" t="s">
        <v>493</v>
      </c>
      <c r="C349" s="69" t="s">
        <v>464</v>
      </c>
      <c r="D349" s="70" t="s">
        <v>494</v>
      </c>
      <c r="E349" s="71"/>
      <c r="M349" s="65" t="str">
        <f t="shared" si="19"/>
        <v/>
      </c>
      <c r="N349" s="65" t="str">
        <f t="shared" si="20"/>
        <v/>
      </c>
      <c r="R349" s="65"/>
    </row>
    <row r="350" spans="2:18" ht="15">
      <c r="B350" s="170" t="s">
        <v>497</v>
      </c>
      <c r="C350" s="69" t="s">
        <v>490</v>
      </c>
      <c r="D350" s="70" t="s">
        <v>498</v>
      </c>
      <c r="E350" s="71"/>
      <c r="M350" s="65" t="str">
        <f t="shared" si="19"/>
        <v/>
      </c>
      <c r="N350" s="65" t="str">
        <f t="shared" si="20"/>
        <v/>
      </c>
      <c r="R350" s="65"/>
    </row>
    <row r="351" spans="2:18" ht="25.5">
      <c r="B351" s="170" t="s">
        <v>501</v>
      </c>
      <c r="C351" s="69" t="s">
        <v>502</v>
      </c>
      <c r="D351" s="73" t="s">
        <v>503</v>
      </c>
      <c r="E351" s="73"/>
      <c r="M351" s="65" t="str">
        <f t="shared" si="19"/>
        <v/>
      </c>
      <c r="N351" s="65" t="str">
        <f t="shared" si="20"/>
        <v/>
      </c>
      <c r="R351" s="65"/>
    </row>
    <row r="352" spans="2:18">
      <c r="B352" s="170" t="s">
        <v>506</v>
      </c>
      <c r="C352" s="73"/>
      <c r="D352" s="73" t="s">
        <v>507</v>
      </c>
      <c r="E352" s="73"/>
      <c r="M352" s="65" t="str">
        <f t="shared" si="19"/>
        <v/>
      </c>
      <c r="N352" s="65" t="str">
        <f t="shared" si="20"/>
        <v/>
      </c>
      <c r="R352" s="65"/>
    </row>
    <row r="353" spans="2:18">
      <c r="B353" s="170" t="s">
        <v>511</v>
      </c>
      <c r="C353" s="73"/>
      <c r="D353" s="73" t="s">
        <v>512</v>
      </c>
      <c r="E353" s="73"/>
      <c r="M353" s="65" t="str">
        <f t="shared" si="19"/>
        <v/>
      </c>
      <c r="N353" s="65" t="str">
        <f t="shared" si="20"/>
        <v/>
      </c>
      <c r="R353" s="65"/>
    </row>
    <row r="354" spans="2:18">
      <c r="B354" s="170" t="s">
        <v>516</v>
      </c>
      <c r="C354" s="73"/>
      <c r="D354" s="73" t="s">
        <v>517</v>
      </c>
      <c r="E354" s="73"/>
      <c r="M354" s="65" t="str">
        <f t="shared" si="19"/>
        <v/>
      </c>
      <c r="N354" s="65" t="str">
        <f t="shared" si="20"/>
        <v/>
      </c>
      <c r="R354" s="65"/>
    </row>
    <row r="355" spans="2:18" ht="25.5">
      <c r="B355" s="170" t="s">
        <v>521</v>
      </c>
      <c r="C355" s="73"/>
      <c r="D355" s="170" t="s">
        <v>522</v>
      </c>
      <c r="E355" s="73"/>
      <c r="M355" s="65" t="str">
        <f t="shared" si="19"/>
        <v/>
      </c>
      <c r="N355" s="65" t="str">
        <f t="shared" si="20"/>
        <v/>
      </c>
      <c r="R355" s="65"/>
    </row>
    <row r="356" spans="2:18">
      <c r="B356" s="170" t="s">
        <v>526</v>
      </c>
      <c r="C356" s="73"/>
      <c r="D356" s="73" t="s">
        <v>527</v>
      </c>
      <c r="E356" s="73"/>
      <c r="M356" s="65" t="str">
        <f t="shared" si="19"/>
        <v/>
      </c>
      <c r="N356" s="65" t="str">
        <f t="shared" si="20"/>
        <v/>
      </c>
      <c r="R356" s="65"/>
    </row>
    <row r="357" spans="2:18">
      <c r="B357" s="170" t="s">
        <v>531</v>
      </c>
      <c r="C357" s="73"/>
      <c r="D357" s="73" t="s">
        <v>532</v>
      </c>
      <c r="E357" s="73"/>
      <c r="M357" s="65" t="str">
        <f t="shared" si="19"/>
        <v/>
      </c>
      <c r="N357" s="65" t="str">
        <f t="shared" si="20"/>
        <v/>
      </c>
      <c r="R357" s="65"/>
    </row>
    <row r="358" spans="2:18">
      <c r="B358" s="170" t="s">
        <v>536</v>
      </c>
      <c r="C358" s="73"/>
      <c r="D358" s="73" t="s">
        <v>537</v>
      </c>
      <c r="E358" s="73"/>
      <c r="M358" s="65" t="str">
        <f t="shared" si="19"/>
        <v/>
      </c>
      <c r="N358" s="65" t="str">
        <f t="shared" si="20"/>
        <v/>
      </c>
      <c r="R358" s="65"/>
    </row>
    <row r="359" spans="2:18">
      <c r="B359" s="170" t="s">
        <v>541</v>
      </c>
      <c r="C359" s="73"/>
      <c r="D359" s="73" t="s">
        <v>542</v>
      </c>
      <c r="E359" s="73"/>
      <c r="M359" s="65" t="str">
        <f t="shared" si="19"/>
        <v/>
      </c>
      <c r="N359" s="65" t="str">
        <f t="shared" si="20"/>
        <v/>
      </c>
      <c r="R359" s="65"/>
    </row>
    <row r="360" spans="2:18">
      <c r="B360" s="170" t="s">
        <v>546</v>
      </c>
      <c r="C360" s="73"/>
      <c r="D360" s="73" t="s">
        <v>547</v>
      </c>
      <c r="E360" s="73"/>
      <c r="M360" s="65" t="str">
        <f t="shared" si="19"/>
        <v/>
      </c>
      <c r="N360" s="65" t="str">
        <f t="shared" si="20"/>
        <v/>
      </c>
      <c r="R360" s="65"/>
    </row>
    <row r="361" spans="2:18">
      <c r="B361" s="170" t="s">
        <v>551</v>
      </c>
      <c r="C361" s="73"/>
      <c r="D361" s="73" t="s">
        <v>537</v>
      </c>
      <c r="E361" s="73"/>
      <c r="M361" s="65" t="str">
        <f t="shared" si="19"/>
        <v/>
      </c>
      <c r="N361" s="65" t="str">
        <f t="shared" si="20"/>
        <v/>
      </c>
      <c r="R361" s="65"/>
    </row>
    <row r="362" spans="2:18">
      <c r="B362" s="170" t="s">
        <v>555</v>
      </c>
      <c r="C362" s="73"/>
      <c r="D362" s="73" t="s">
        <v>556</v>
      </c>
      <c r="E362" s="73"/>
      <c r="M362" s="65" t="str">
        <f t="shared" si="19"/>
        <v/>
      </c>
      <c r="N362" s="65" t="str">
        <f t="shared" si="20"/>
        <v/>
      </c>
      <c r="R362" s="65"/>
    </row>
    <row r="363" spans="2:18">
      <c r="B363" s="170" t="s">
        <v>560</v>
      </c>
      <c r="C363" s="73"/>
      <c r="D363" s="73" t="s">
        <v>561</v>
      </c>
      <c r="E363" s="73"/>
      <c r="M363" s="65" t="str">
        <f t="shared" si="19"/>
        <v/>
      </c>
      <c r="N363" s="65" t="str">
        <f t="shared" si="20"/>
        <v/>
      </c>
      <c r="R363" s="65"/>
    </row>
    <row r="364" spans="2:18">
      <c r="B364" s="170" t="s">
        <v>565</v>
      </c>
      <c r="C364" s="73"/>
      <c r="D364" s="73" t="s">
        <v>566</v>
      </c>
      <c r="E364" s="73"/>
      <c r="M364" s="65" t="str">
        <f t="shared" si="19"/>
        <v/>
      </c>
      <c r="N364" s="65" t="str">
        <f t="shared" si="20"/>
        <v/>
      </c>
      <c r="R364" s="65"/>
    </row>
    <row r="365" spans="2:18">
      <c r="B365" s="170" t="s">
        <v>570</v>
      </c>
      <c r="C365" s="73"/>
      <c r="D365" s="73" t="s">
        <v>571</v>
      </c>
      <c r="E365" s="73"/>
      <c r="M365" s="65" t="str">
        <f t="shared" si="19"/>
        <v/>
      </c>
      <c r="N365" s="65" t="str">
        <f t="shared" si="20"/>
        <v/>
      </c>
      <c r="R365" s="65"/>
    </row>
    <row r="366" spans="2:18">
      <c r="B366" s="170" t="s">
        <v>575</v>
      </c>
      <c r="C366" s="73"/>
      <c r="D366" s="73" t="s">
        <v>576</v>
      </c>
      <c r="E366" s="73"/>
      <c r="M366" s="65" t="str">
        <f t="shared" si="19"/>
        <v/>
      </c>
      <c r="N366" s="65" t="str">
        <f t="shared" si="20"/>
        <v/>
      </c>
      <c r="R366" s="65"/>
    </row>
    <row r="367" spans="2:18">
      <c r="B367" s="170" t="s">
        <v>580</v>
      </c>
      <c r="C367" s="73"/>
      <c r="D367" s="73" t="s">
        <v>581</v>
      </c>
      <c r="E367" s="73"/>
      <c r="M367" s="65" t="str">
        <f t="shared" si="19"/>
        <v/>
      </c>
      <c r="N367" s="65" t="str">
        <f t="shared" si="20"/>
        <v/>
      </c>
      <c r="R367" s="65"/>
    </row>
    <row r="368" spans="2:18">
      <c r="B368" s="170" t="s">
        <v>585</v>
      </c>
      <c r="C368" s="73"/>
      <c r="D368" s="73" t="s">
        <v>586</v>
      </c>
      <c r="E368" s="73"/>
      <c r="M368" s="65" t="str">
        <f t="shared" si="19"/>
        <v/>
      </c>
      <c r="N368" s="65" t="str">
        <f t="shared" si="20"/>
        <v/>
      </c>
      <c r="R368" s="65"/>
    </row>
    <row r="369" spans="2:18">
      <c r="B369" s="170" t="s">
        <v>590</v>
      </c>
      <c r="C369" s="73"/>
      <c r="D369" s="73" t="s">
        <v>591</v>
      </c>
      <c r="E369" s="73"/>
      <c r="M369" s="65" t="str">
        <f t="shared" si="19"/>
        <v/>
      </c>
      <c r="N369" s="65" t="str">
        <f t="shared" si="20"/>
        <v/>
      </c>
      <c r="R369" s="65"/>
    </row>
    <row r="370" spans="2:18">
      <c r="B370" s="170" t="s">
        <v>595</v>
      </c>
      <c r="C370" s="73"/>
      <c r="D370" s="73" t="s">
        <v>596</v>
      </c>
      <c r="E370" s="73"/>
      <c r="M370" s="65" t="str">
        <f t="shared" si="19"/>
        <v/>
      </c>
      <c r="N370" s="65" t="str">
        <f t="shared" si="20"/>
        <v/>
      </c>
      <c r="R370" s="65"/>
    </row>
    <row r="371" spans="2:18">
      <c r="B371" s="170" t="s">
        <v>600</v>
      </c>
      <c r="C371" s="73"/>
      <c r="D371" s="73" t="s">
        <v>601</v>
      </c>
      <c r="E371" s="73"/>
      <c r="M371" s="65" t="str">
        <f t="shared" si="19"/>
        <v/>
      </c>
      <c r="N371" s="65" t="str">
        <f t="shared" si="20"/>
        <v/>
      </c>
      <c r="R371" s="65"/>
    </row>
    <row r="372" spans="2:18">
      <c r="B372" s="170" t="s">
        <v>605</v>
      </c>
      <c r="C372" s="73"/>
      <c r="D372" s="73" t="s">
        <v>606</v>
      </c>
      <c r="E372" s="73"/>
      <c r="M372" s="65" t="str">
        <f t="shared" si="19"/>
        <v/>
      </c>
      <c r="N372" s="65" t="str">
        <f t="shared" si="20"/>
        <v/>
      </c>
      <c r="R372" s="65"/>
    </row>
    <row r="373" spans="2:18">
      <c r="B373" s="170" t="s">
        <v>610</v>
      </c>
      <c r="C373" s="73"/>
      <c r="D373" s="73" t="s">
        <v>611</v>
      </c>
      <c r="E373" s="73"/>
      <c r="M373" s="65" t="str">
        <f t="shared" si="19"/>
        <v/>
      </c>
      <c r="N373" s="65" t="str">
        <f t="shared" si="20"/>
        <v/>
      </c>
      <c r="R373" s="65"/>
    </row>
    <row r="374" spans="2:18">
      <c r="B374" s="170" t="s">
        <v>615</v>
      </c>
      <c r="C374" s="73"/>
      <c r="D374" s="73" t="s">
        <v>616</v>
      </c>
      <c r="E374" s="73"/>
      <c r="M374" s="65" t="str">
        <f t="shared" si="19"/>
        <v/>
      </c>
      <c r="N374" s="65" t="str">
        <f t="shared" si="20"/>
        <v/>
      </c>
      <c r="R374" s="65"/>
    </row>
    <row r="375" spans="2:18">
      <c r="B375" s="170" t="s">
        <v>620</v>
      </c>
      <c r="C375" s="73"/>
      <c r="D375" s="73" t="s">
        <v>621</v>
      </c>
      <c r="E375" s="73"/>
      <c r="M375" s="65" t="str">
        <f t="shared" si="19"/>
        <v/>
      </c>
      <c r="N375" s="65" t="str">
        <f t="shared" si="20"/>
        <v/>
      </c>
      <c r="R375" s="65"/>
    </row>
    <row r="376" spans="2:18">
      <c r="B376" s="170" t="s">
        <v>625</v>
      </c>
      <c r="C376" s="73"/>
      <c r="D376" s="73" t="s">
        <v>626</v>
      </c>
      <c r="E376" s="73"/>
      <c r="M376" s="65" t="str">
        <f t="shared" si="19"/>
        <v/>
      </c>
      <c r="N376" s="65" t="str">
        <f t="shared" si="20"/>
        <v/>
      </c>
      <c r="R376" s="65"/>
    </row>
    <row r="377" spans="2:18">
      <c r="B377" s="170" t="s">
        <v>630</v>
      </c>
      <c r="C377" s="73"/>
      <c r="D377" s="73" t="s">
        <v>631</v>
      </c>
      <c r="E377" s="73"/>
      <c r="M377" s="65" t="str">
        <f t="shared" si="19"/>
        <v/>
      </c>
      <c r="N377" s="65" t="str">
        <f t="shared" si="20"/>
        <v/>
      </c>
      <c r="R377" s="65"/>
    </row>
    <row r="378" spans="2:18">
      <c r="B378" s="170" t="s">
        <v>635</v>
      </c>
      <c r="C378" s="73"/>
      <c r="D378" s="73" t="s">
        <v>636</v>
      </c>
      <c r="E378" s="73"/>
      <c r="M378" s="65" t="str">
        <f t="shared" si="19"/>
        <v/>
      </c>
      <c r="N378" s="65" t="str">
        <f t="shared" si="20"/>
        <v/>
      </c>
      <c r="R378" s="65"/>
    </row>
    <row r="379" spans="2:18">
      <c r="B379" s="170" t="s">
        <v>639</v>
      </c>
      <c r="C379" s="73"/>
      <c r="D379" s="73" t="s">
        <v>640</v>
      </c>
      <c r="E379" s="73"/>
      <c r="M379" s="65" t="str">
        <f t="shared" si="19"/>
        <v/>
      </c>
      <c r="N379" s="65" t="str">
        <f t="shared" si="20"/>
        <v/>
      </c>
      <c r="R379" s="65"/>
    </row>
    <row r="380" spans="2:18">
      <c r="B380" s="170" t="s">
        <v>642</v>
      </c>
      <c r="C380" s="73"/>
      <c r="D380" s="73" t="s">
        <v>643</v>
      </c>
      <c r="E380" s="73"/>
      <c r="M380" s="65" t="str">
        <f t="shared" si="19"/>
        <v/>
      </c>
      <c r="N380" s="65" t="str">
        <f t="shared" si="20"/>
        <v/>
      </c>
      <c r="R380" s="65"/>
    </row>
    <row r="381" spans="2:18">
      <c r="B381" s="170" t="s">
        <v>646</v>
      </c>
      <c r="C381" s="73"/>
      <c r="D381" s="73" t="s">
        <v>647</v>
      </c>
      <c r="E381" s="73"/>
      <c r="M381" s="65" t="str">
        <f t="shared" si="19"/>
        <v/>
      </c>
      <c r="N381" s="65" t="str">
        <f t="shared" si="20"/>
        <v/>
      </c>
      <c r="R381" s="65"/>
    </row>
    <row r="382" spans="2:18">
      <c r="B382" s="170" t="s">
        <v>650</v>
      </c>
      <c r="C382" s="73"/>
      <c r="D382" s="73" t="s">
        <v>651</v>
      </c>
      <c r="E382" s="73"/>
      <c r="M382" s="65" t="str">
        <f t="shared" si="19"/>
        <v/>
      </c>
      <c r="N382" s="65" t="str">
        <f t="shared" si="20"/>
        <v/>
      </c>
      <c r="R382" s="65"/>
    </row>
    <row r="383" spans="2:18">
      <c r="B383" s="170" t="s">
        <v>655</v>
      </c>
      <c r="C383" s="73"/>
      <c r="D383" s="73" t="s">
        <v>656</v>
      </c>
      <c r="E383" s="73"/>
      <c r="M383" s="65" t="str">
        <f t="shared" si="19"/>
        <v/>
      </c>
      <c r="N383" s="65" t="str">
        <f t="shared" si="20"/>
        <v/>
      </c>
      <c r="R383" s="65"/>
    </row>
    <row r="384" spans="2:18">
      <c r="B384" s="170" t="s">
        <v>660</v>
      </c>
      <c r="C384" s="73"/>
      <c r="D384" s="73" t="s">
        <v>661</v>
      </c>
      <c r="E384" s="73"/>
      <c r="M384" s="65" t="str">
        <f t="shared" si="19"/>
        <v/>
      </c>
      <c r="N384" s="65" t="str">
        <f t="shared" si="20"/>
        <v/>
      </c>
      <c r="R384" s="65"/>
    </row>
    <row r="385" spans="2:18">
      <c r="B385" s="170" t="s">
        <v>665</v>
      </c>
      <c r="C385" s="73"/>
      <c r="D385" s="73" t="s">
        <v>666</v>
      </c>
      <c r="E385" s="73"/>
      <c r="M385" s="65" t="str">
        <f t="shared" si="19"/>
        <v/>
      </c>
      <c r="N385" s="65" t="str">
        <f t="shared" si="20"/>
        <v/>
      </c>
      <c r="R385" s="65"/>
    </row>
    <row r="386" spans="2:18">
      <c r="B386" s="170" t="s">
        <v>670</v>
      </c>
      <c r="C386" s="73"/>
      <c r="D386" s="73" t="s">
        <v>671</v>
      </c>
      <c r="E386" s="73"/>
      <c r="M386" s="65" t="str">
        <f t="shared" si="19"/>
        <v/>
      </c>
      <c r="N386" s="65" t="str">
        <f t="shared" si="20"/>
        <v/>
      </c>
      <c r="R386" s="65"/>
    </row>
    <row r="387" spans="2:18">
      <c r="B387" s="170" t="s">
        <v>675</v>
      </c>
      <c r="C387" s="73"/>
      <c r="D387" s="73" t="s">
        <v>676</v>
      </c>
      <c r="E387" s="73"/>
      <c r="M387" s="65" t="str">
        <f t="shared" ref="M387:M413" si="21">IF(ISERROR(FIND("=",P387)),"",RIGHT(P387,LEN(P387)-FIND("=",P387)+3))</f>
        <v/>
      </c>
      <c r="N387" s="65" t="str">
        <f t="shared" ref="N387:N450" si="22">IF(ISERROR(FIND(" (include",P387)),"",RIGHT(P387,LEN(P387)-FIND(" (include",P387)))</f>
        <v/>
      </c>
      <c r="R387" s="65"/>
    </row>
    <row r="388" spans="2:18">
      <c r="B388" s="170" t="s">
        <v>680</v>
      </c>
      <c r="C388" s="73"/>
      <c r="D388" s="73" t="s">
        <v>681</v>
      </c>
      <c r="E388" s="73"/>
      <c r="M388" s="65" t="str">
        <f t="shared" si="21"/>
        <v/>
      </c>
      <c r="N388" s="65" t="str">
        <f t="shared" si="22"/>
        <v/>
      </c>
      <c r="R388" s="65"/>
    </row>
    <row r="389" spans="2:18">
      <c r="B389" s="170" t="s">
        <v>685</v>
      </c>
      <c r="C389" s="73"/>
      <c r="D389" s="73" t="s">
        <v>686</v>
      </c>
      <c r="E389" s="73"/>
      <c r="M389" s="65" t="str">
        <f t="shared" si="21"/>
        <v/>
      </c>
      <c r="N389" s="65" t="str">
        <f t="shared" si="22"/>
        <v/>
      </c>
      <c r="R389" s="65"/>
    </row>
    <row r="390" spans="2:18">
      <c r="B390" s="170" t="s">
        <v>690</v>
      </c>
      <c r="C390" s="73"/>
      <c r="D390" s="73" t="s">
        <v>691</v>
      </c>
      <c r="E390" s="73"/>
      <c r="M390" s="65" t="str">
        <f t="shared" si="21"/>
        <v/>
      </c>
      <c r="N390" s="65" t="str">
        <f t="shared" si="22"/>
        <v/>
      </c>
      <c r="R390" s="65"/>
    </row>
    <row r="391" spans="2:18">
      <c r="B391" s="170" t="s">
        <v>694</v>
      </c>
      <c r="C391" s="73"/>
      <c r="D391" s="73" t="s">
        <v>695</v>
      </c>
      <c r="E391" s="73"/>
      <c r="M391" s="65" t="str">
        <f t="shared" si="21"/>
        <v/>
      </c>
      <c r="N391" s="65" t="str">
        <f t="shared" si="22"/>
        <v/>
      </c>
      <c r="R391" s="65"/>
    </row>
    <row r="392" spans="2:18">
      <c r="B392" s="170" t="s">
        <v>697</v>
      </c>
      <c r="C392" s="73"/>
      <c r="D392" s="73" t="s">
        <v>698</v>
      </c>
      <c r="E392" s="73"/>
      <c r="M392" s="65" t="str">
        <f t="shared" si="21"/>
        <v/>
      </c>
      <c r="N392" s="65" t="str">
        <f t="shared" si="22"/>
        <v/>
      </c>
      <c r="R392" s="65"/>
    </row>
    <row r="393" spans="2:18">
      <c r="B393" s="170" t="s">
        <v>700</v>
      </c>
      <c r="C393" s="73"/>
      <c r="D393" s="73" t="s">
        <v>701</v>
      </c>
      <c r="E393" s="73"/>
      <c r="M393" s="65" t="str">
        <f t="shared" si="21"/>
        <v/>
      </c>
      <c r="N393" s="65" t="str">
        <f t="shared" si="22"/>
        <v/>
      </c>
      <c r="R393" s="65"/>
    </row>
    <row r="394" spans="2:18">
      <c r="B394" s="170" t="s">
        <v>705</v>
      </c>
      <c r="C394" s="73"/>
      <c r="D394" s="73" t="s">
        <v>706</v>
      </c>
      <c r="E394" s="73"/>
      <c r="M394" s="65" t="str">
        <f t="shared" si="21"/>
        <v/>
      </c>
      <c r="N394" s="65" t="str">
        <f t="shared" si="22"/>
        <v/>
      </c>
      <c r="R394" s="65"/>
    </row>
    <row r="395" spans="2:18">
      <c r="B395" s="170" t="s">
        <v>710</v>
      </c>
      <c r="C395" s="73"/>
      <c r="D395" s="73" t="s">
        <v>711</v>
      </c>
      <c r="E395" s="73"/>
      <c r="M395" s="65" t="str">
        <f t="shared" si="21"/>
        <v/>
      </c>
      <c r="N395" s="65" t="str">
        <f t="shared" si="22"/>
        <v/>
      </c>
      <c r="R395" s="65"/>
    </row>
    <row r="396" spans="2:18">
      <c r="B396" s="170" t="s">
        <v>714</v>
      </c>
      <c r="C396" s="73"/>
      <c r="D396" s="73" t="s">
        <v>715</v>
      </c>
      <c r="E396" s="73"/>
      <c r="M396" s="65" t="str">
        <f t="shared" si="21"/>
        <v/>
      </c>
      <c r="N396" s="65" t="str">
        <f t="shared" si="22"/>
        <v/>
      </c>
      <c r="R396" s="65"/>
    </row>
    <row r="397" spans="2:18">
      <c r="B397" s="170" t="s">
        <v>718</v>
      </c>
      <c r="C397" s="73"/>
      <c r="D397" s="73" t="s">
        <v>719</v>
      </c>
      <c r="E397" s="73"/>
      <c r="M397" s="65" t="str">
        <f t="shared" si="21"/>
        <v/>
      </c>
      <c r="N397" s="65" t="str">
        <f t="shared" si="22"/>
        <v/>
      </c>
      <c r="R397" s="65"/>
    </row>
    <row r="398" spans="2:18">
      <c r="B398" s="170" t="s">
        <v>723</v>
      </c>
      <c r="C398" s="73"/>
      <c r="D398" s="73" t="s">
        <v>724</v>
      </c>
      <c r="E398" s="73"/>
      <c r="M398" s="65" t="str">
        <f t="shared" si="21"/>
        <v/>
      </c>
      <c r="N398" s="65" t="str">
        <f t="shared" si="22"/>
        <v/>
      </c>
      <c r="R398" s="65"/>
    </row>
    <row r="399" spans="2:18">
      <c r="B399" s="170" t="s">
        <v>728</v>
      </c>
      <c r="C399" s="73"/>
      <c r="D399" s="73" t="s">
        <v>729</v>
      </c>
      <c r="E399" s="73"/>
      <c r="M399" s="65" t="str">
        <f t="shared" si="21"/>
        <v/>
      </c>
      <c r="N399" s="65" t="str">
        <f t="shared" si="22"/>
        <v/>
      </c>
      <c r="R399" s="65"/>
    </row>
    <row r="400" spans="2:18">
      <c r="B400" s="170" t="s">
        <v>733</v>
      </c>
      <c r="C400" s="73"/>
      <c r="D400" s="73" t="s">
        <v>734</v>
      </c>
      <c r="E400" s="73"/>
      <c r="M400" s="65" t="str">
        <f t="shared" si="21"/>
        <v/>
      </c>
      <c r="N400" s="65" t="str">
        <f t="shared" si="22"/>
        <v/>
      </c>
      <c r="R400" s="65"/>
    </row>
    <row r="401" spans="2:18">
      <c r="B401" s="170" t="s">
        <v>738</v>
      </c>
      <c r="C401" s="73"/>
      <c r="D401" s="73" t="s">
        <v>739</v>
      </c>
      <c r="E401" s="73"/>
      <c r="M401" s="65" t="str">
        <f t="shared" si="21"/>
        <v/>
      </c>
      <c r="N401" s="65" t="str">
        <f t="shared" si="22"/>
        <v/>
      </c>
      <c r="R401" s="65"/>
    </row>
    <row r="402" spans="2:18">
      <c r="B402" s="170" t="s">
        <v>744</v>
      </c>
      <c r="C402" s="73"/>
      <c r="D402" s="73" t="s">
        <v>745</v>
      </c>
      <c r="E402" s="73"/>
      <c r="M402" s="65" t="str">
        <f t="shared" si="21"/>
        <v/>
      </c>
      <c r="N402" s="65" t="str">
        <f t="shared" si="22"/>
        <v/>
      </c>
      <c r="R402" s="65"/>
    </row>
    <row r="403" spans="2:18">
      <c r="B403" s="170" t="s">
        <v>749</v>
      </c>
      <c r="C403" s="73"/>
      <c r="D403" s="73" t="s">
        <v>750</v>
      </c>
      <c r="E403" s="73"/>
      <c r="M403" s="65" t="str">
        <f t="shared" si="21"/>
        <v/>
      </c>
      <c r="N403" s="65" t="str">
        <f t="shared" si="22"/>
        <v/>
      </c>
      <c r="R403" s="65"/>
    </row>
    <row r="404" spans="2:18">
      <c r="B404" s="170" t="s">
        <v>754</v>
      </c>
      <c r="C404" s="73"/>
      <c r="D404" s="73" t="s">
        <v>755</v>
      </c>
      <c r="E404" s="73"/>
      <c r="M404" s="65" t="str">
        <f t="shared" si="21"/>
        <v/>
      </c>
      <c r="N404" s="65" t="str">
        <f t="shared" si="22"/>
        <v/>
      </c>
      <c r="R404" s="65"/>
    </row>
    <row r="405" spans="2:18">
      <c r="B405" s="170" t="s">
        <v>759</v>
      </c>
      <c r="C405" s="73"/>
      <c r="D405" s="73" t="s">
        <v>760</v>
      </c>
      <c r="E405" s="73"/>
      <c r="M405" s="65" t="str">
        <f t="shared" si="21"/>
        <v/>
      </c>
      <c r="N405" s="65" t="str">
        <f t="shared" si="22"/>
        <v/>
      </c>
      <c r="R405" s="65"/>
    </row>
    <row r="406" spans="2:18">
      <c r="B406" s="170" t="s">
        <v>765</v>
      </c>
      <c r="C406" s="73"/>
      <c r="D406" s="73" t="s">
        <v>766</v>
      </c>
      <c r="E406" s="73"/>
      <c r="M406" s="65" t="str">
        <f t="shared" si="21"/>
        <v/>
      </c>
      <c r="N406" s="65" t="str">
        <f t="shared" si="22"/>
        <v/>
      </c>
      <c r="R406" s="65"/>
    </row>
    <row r="407" spans="2:18">
      <c r="B407" s="170" t="s">
        <v>3534</v>
      </c>
      <c r="C407" s="73"/>
      <c r="D407" s="73" t="s">
        <v>3535</v>
      </c>
      <c r="E407" s="73"/>
      <c r="M407" s="65" t="str">
        <f t="shared" si="21"/>
        <v/>
      </c>
      <c r="N407" s="65" t="str">
        <f t="shared" si="22"/>
        <v/>
      </c>
      <c r="R407" s="65"/>
    </row>
    <row r="408" spans="2:18">
      <c r="B408" s="170" t="s">
        <v>3543</v>
      </c>
      <c r="C408" s="73"/>
      <c r="D408" s="73" t="s">
        <v>3544</v>
      </c>
      <c r="E408" s="73"/>
      <c r="M408" s="65" t="str">
        <f t="shared" si="21"/>
        <v/>
      </c>
      <c r="N408" s="65" t="str">
        <f t="shared" si="22"/>
        <v/>
      </c>
      <c r="R408" s="65"/>
    </row>
    <row r="409" spans="2:18">
      <c r="B409" s="170" t="s">
        <v>775</v>
      </c>
      <c r="C409" s="73"/>
      <c r="D409" s="73" t="s">
        <v>776</v>
      </c>
      <c r="E409" s="73"/>
      <c r="M409" s="65" t="str">
        <f t="shared" si="21"/>
        <v/>
      </c>
      <c r="N409" s="65" t="str">
        <f t="shared" si="22"/>
        <v/>
      </c>
      <c r="R409" s="65"/>
    </row>
    <row r="410" spans="2:18">
      <c r="B410" s="170" t="s">
        <v>779</v>
      </c>
      <c r="C410" s="73"/>
      <c r="D410" s="73" t="s">
        <v>780</v>
      </c>
      <c r="E410" s="73"/>
      <c r="M410" s="65" t="str">
        <f t="shared" si="21"/>
        <v/>
      </c>
      <c r="N410" s="65" t="str">
        <f t="shared" si="22"/>
        <v/>
      </c>
      <c r="R410" s="65"/>
    </row>
    <row r="411" spans="2:18">
      <c r="B411" s="170" t="s">
        <v>783</v>
      </c>
      <c r="C411" s="73"/>
      <c r="D411" s="73" t="s">
        <v>784</v>
      </c>
      <c r="E411" s="73"/>
      <c r="M411" s="65" t="str">
        <f t="shared" si="21"/>
        <v/>
      </c>
      <c r="N411" s="65" t="str">
        <f t="shared" si="22"/>
        <v/>
      </c>
      <c r="R411" s="65"/>
    </row>
    <row r="412" spans="2:18">
      <c r="B412" s="170" t="s">
        <v>789</v>
      </c>
      <c r="C412" s="73"/>
      <c r="D412" s="73" t="s">
        <v>790</v>
      </c>
      <c r="E412" s="73"/>
      <c r="M412" s="65" t="str">
        <f t="shared" si="21"/>
        <v/>
      </c>
      <c r="N412" s="65" t="str">
        <f t="shared" si="22"/>
        <v/>
      </c>
      <c r="R412" s="65"/>
    </row>
    <row r="413" spans="2:18">
      <c r="B413" s="170" t="s">
        <v>350</v>
      </c>
      <c r="C413" s="73"/>
      <c r="D413" s="73" t="s">
        <v>351</v>
      </c>
      <c r="E413" s="73"/>
      <c r="M413" s="65" t="str">
        <f t="shared" si="21"/>
        <v/>
      </c>
      <c r="N413" s="65" t="str">
        <f t="shared" si="22"/>
        <v/>
      </c>
      <c r="R413" s="65"/>
    </row>
    <row r="414" spans="2:18">
      <c r="B414" s="170" t="s">
        <v>799</v>
      </c>
      <c r="C414" s="73"/>
      <c r="D414" s="73" t="s">
        <v>800</v>
      </c>
      <c r="E414" s="73"/>
      <c r="N414" s="65" t="str">
        <f t="shared" si="22"/>
        <v/>
      </c>
      <c r="R414" s="65"/>
    </row>
    <row r="415" spans="2:18">
      <c r="B415" s="170" t="s">
        <v>804</v>
      </c>
      <c r="C415" s="73"/>
      <c r="D415" s="73" t="s">
        <v>805</v>
      </c>
      <c r="E415" s="73"/>
      <c r="N415" s="65" t="str">
        <f t="shared" si="22"/>
        <v/>
      </c>
      <c r="R415" s="65"/>
    </row>
    <row r="416" spans="2:18">
      <c r="B416" s="170" t="s">
        <v>809</v>
      </c>
      <c r="C416" s="73"/>
      <c r="D416" s="73" t="s">
        <v>810</v>
      </c>
      <c r="E416" s="73"/>
      <c r="N416" s="65" t="str">
        <f t="shared" si="22"/>
        <v/>
      </c>
      <c r="R416" s="65"/>
    </row>
    <row r="417" spans="2:18">
      <c r="B417" s="170" t="s">
        <v>814</v>
      </c>
      <c r="C417" s="73"/>
      <c r="D417" s="73" t="s">
        <v>815</v>
      </c>
      <c r="E417" s="73"/>
      <c r="N417" s="65" t="str">
        <f t="shared" si="22"/>
        <v/>
      </c>
      <c r="R417" s="65"/>
    </row>
    <row r="418" spans="2:18">
      <c r="B418" s="170" t="s">
        <v>819</v>
      </c>
      <c r="C418" s="73"/>
      <c r="D418" s="73" t="s">
        <v>820</v>
      </c>
      <c r="E418" s="73"/>
      <c r="N418" s="65" t="str">
        <f t="shared" si="22"/>
        <v/>
      </c>
      <c r="R418" s="65"/>
    </row>
    <row r="419" spans="2:18">
      <c r="B419" s="170" t="s">
        <v>828</v>
      </c>
      <c r="C419" s="73"/>
      <c r="D419" s="73" t="s">
        <v>829</v>
      </c>
      <c r="E419" s="73"/>
      <c r="N419" s="65" t="str">
        <f t="shared" si="22"/>
        <v/>
      </c>
      <c r="R419" s="65"/>
    </row>
    <row r="420" spans="2:18">
      <c r="B420" s="170" t="s">
        <v>834</v>
      </c>
      <c r="C420" s="73"/>
      <c r="D420" s="73" t="s">
        <v>835</v>
      </c>
      <c r="E420" s="73"/>
      <c r="N420" s="65" t="str">
        <f t="shared" si="22"/>
        <v/>
      </c>
      <c r="R420" s="65"/>
    </row>
    <row r="421" spans="2:18">
      <c r="B421" s="170" t="s">
        <v>839</v>
      </c>
      <c r="C421" s="73"/>
      <c r="D421" s="73" t="s">
        <v>840</v>
      </c>
      <c r="E421" s="73"/>
      <c r="N421" s="65" t="str">
        <f t="shared" si="22"/>
        <v/>
      </c>
      <c r="R421" s="65"/>
    </row>
    <row r="422" spans="2:18">
      <c r="B422" s="170" t="s">
        <v>844</v>
      </c>
      <c r="C422" s="73"/>
      <c r="D422" s="73" t="s">
        <v>845</v>
      </c>
      <c r="E422" s="73"/>
      <c r="N422" s="65" t="str">
        <f t="shared" si="22"/>
        <v/>
      </c>
      <c r="R422" s="65"/>
    </row>
    <row r="423" spans="2:18">
      <c r="B423" s="170" t="s">
        <v>849</v>
      </c>
      <c r="C423" s="73"/>
      <c r="D423" s="73" t="s">
        <v>850</v>
      </c>
      <c r="E423" s="73"/>
      <c r="N423" s="65" t="str">
        <f t="shared" si="22"/>
        <v/>
      </c>
      <c r="R423" s="65"/>
    </row>
    <row r="424" spans="2:18">
      <c r="B424" s="170" t="s">
        <v>854</v>
      </c>
      <c r="C424" s="73"/>
      <c r="D424" s="73" t="s">
        <v>855</v>
      </c>
      <c r="E424" s="73"/>
      <c r="N424" s="65" t="str">
        <f t="shared" si="22"/>
        <v/>
      </c>
      <c r="R424" s="65"/>
    </row>
    <row r="425" spans="2:18">
      <c r="B425" s="170" t="s">
        <v>859</v>
      </c>
      <c r="C425" s="73"/>
      <c r="D425" s="73" t="s">
        <v>860</v>
      </c>
      <c r="E425" s="73"/>
      <c r="N425" s="65" t="str">
        <f t="shared" si="22"/>
        <v/>
      </c>
      <c r="R425" s="65"/>
    </row>
    <row r="426" spans="2:18">
      <c r="B426" s="170" t="s">
        <v>864</v>
      </c>
      <c r="C426" s="73"/>
      <c r="D426" s="73" t="s">
        <v>865</v>
      </c>
      <c r="E426" s="73"/>
      <c r="N426" s="65" t="str">
        <f t="shared" si="22"/>
        <v/>
      </c>
      <c r="R426" s="65"/>
    </row>
    <row r="427" spans="2:18">
      <c r="B427" s="170" t="s">
        <v>869</v>
      </c>
      <c r="C427" s="73"/>
      <c r="D427" s="73" t="s">
        <v>870</v>
      </c>
      <c r="E427" s="73"/>
      <c r="N427" s="65" t="str">
        <f t="shared" si="22"/>
        <v/>
      </c>
      <c r="R427" s="65"/>
    </row>
    <row r="428" spans="2:18">
      <c r="B428" s="170" t="s">
        <v>874</v>
      </c>
      <c r="C428" s="73"/>
      <c r="D428" s="73" t="s">
        <v>875</v>
      </c>
      <c r="E428" s="73"/>
      <c r="N428" s="65" t="str">
        <f t="shared" si="22"/>
        <v/>
      </c>
      <c r="R428" s="65"/>
    </row>
    <row r="429" spans="2:18">
      <c r="B429" s="170" t="s">
        <v>879</v>
      </c>
      <c r="C429" s="73"/>
      <c r="D429" s="73" t="s">
        <v>880</v>
      </c>
      <c r="E429" s="73"/>
      <c r="N429" s="65" t="str">
        <f t="shared" si="22"/>
        <v/>
      </c>
      <c r="R429" s="65"/>
    </row>
    <row r="430" spans="2:18">
      <c r="B430" s="170" t="s">
        <v>884</v>
      </c>
      <c r="C430" s="73"/>
      <c r="D430" s="73" t="s">
        <v>885</v>
      </c>
      <c r="E430" s="73"/>
      <c r="N430" s="65" t="str">
        <f t="shared" si="22"/>
        <v/>
      </c>
      <c r="R430" s="65"/>
    </row>
    <row r="431" spans="2:18">
      <c r="B431" s="170" t="s">
        <v>889</v>
      </c>
      <c r="C431" s="73"/>
      <c r="D431" s="73" t="s">
        <v>890</v>
      </c>
      <c r="E431" s="73"/>
      <c r="N431" s="65" t="str">
        <f t="shared" si="22"/>
        <v/>
      </c>
      <c r="R431" s="65"/>
    </row>
    <row r="432" spans="2:18">
      <c r="B432" s="170" t="s">
        <v>894</v>
      </c>
      <c r="C432" s="73"/>
      <c r="D432" s="73" t="s">
        <v>895</v>
      </c>
      <c r="E432" s="73"/>
      <c r="N432" s="65" t="str">
        <f t="shared" si="22"/>
        <v/>
      </c>
      <c r="R432" s="65"/>
    </row>
    <row r="433" spans="2:18">
      <c r="B433" s="170" t="s">
        <v>899</v>
      </c>
      <c r="C433" s="73"/>
      <c r="D433" s="73" t="s">
        <v>900</v>
      </c>
      <c r="E433" s="73"/>
      <c r="N433" s="65" t="str">
        <f t="shared" si="22"/>
        <v/>
      </c>
      <c r="R433" s="65"/>
    </row>
    <row r="434" spans="2:18">
      <c r="B434" s="170" t="s">
        <v>903</v>
      </c>
      <c r="C434" s="73"/>
      <c r="D434" s="73" t="s">
        <v>904</v>
      </c>
      <c r="E434" s="73"/>
      <c r="N434" s="65" t="str">
        <f t="shared" si="22"/>
        <v/>
      </c>
      <c r="R434" s="65"/>
    </row>
    <row r="435" spans="2:18">
      <c r="B435" s="170" t="s">
        <v>908</v>
      </c>
      <c r="C435" s="73"/>
      <c r="D435" s="73" t="s">
        <v>909</v>
      </c>
      <c r="E435" s="73"/>
      <c r="N435" s="65" t="str">
        <f t="shared" si="22"/>
        <v/>
      </c>
      <c r="R435" s="65"/>
    </row>
    <row r="436" spans="2:18">
      <c r="B436" s="170" t="s">
        <v>912</v>
      </c>
      <c r="C436" s="73"/>
      <c r="D436" s="73" t="s">
        <v>913</v>
      </c>
      <c r="E436" s="73"/>
      <c r="N436" s="65" t="str">
        <f t="shared" si="22"/>
        <v/>
      </c>
      <c r="R436" s="65"/>
    </row>
    <row r="437" spans="2:18">
      <c r="B437" s="90" t="s">
        <v>917</v>
      </c>
      <c r="C437" s="73"/>
      <c r="D437" s="73" t="s">
        <v>918</v>
      </c>
      <c r="E437" s="73"/>
      <c r="N437" s="65" t="str">
        <f t="shared" si="22"/>
        <v/>
      </c>
      <c r="R437" s="65"/>
    </row>
    <row r="438" spans="2:18">
      <c r="B438" s="170" t="s">
        <v>921</v>
      </c>
      <c r="C438" s="73"/>
      <c r="D438" s="73" t="s">
        <v>922</v>
      </c>
      <c r="E438" s="73"/>
      <c r="N438" s="65" t="str">
        <f t="shared" si="22"/>
        <v/>
      </c>
      <c r="R438" s="65"/>
    </row>
    <row r="439" spans="2:18">
      <c r="B439" s="170" t="s">
        <v>926</v>
      </c>
      <c r="C439" s="73"/>
      <c r="D439" s="73" t="s">
        <v>927</v>
      </c>
      <c r="E439" s="73"/>
      <c r="N439" s="65" t="str">
        <f t="shared" si="22"/>
        <v/>
      </c>
      <c r="R439" s="65"/>
    </row>
    <row r="440" spans="2:18">
      <c r="B440" s="170" t="s">
        <v>931</v>
      </c>
      <c r="C440" s="73"/>
      <c r="D440" s="73" t="s">
        <v>932</v>
      </c>
      <c r="E440" s="73"/>
      <c r="N440" s="65" t="str">
        <f t="shared" si="22"/>
        <v/>
      </c>
      <c r="R440" s="65"/>
    </row>
    <row r="441" spans="2:18">
      <c r="B441" s="170" t="s">
        <v>936</v>
      </c>
      <c r="C441" s="73"/>
      <c r="D441" s="73" t="s">
        <v>937</v>
      </c>
      <c r="E441" s="73"/>
      <c r="N441" s="65" t="str">
        <f t="shared" si="22"/>
        <v/>
      </c>
      <c r="R441" s="65"/>
    </row>
    <row r="442" spans="2:18">
      <c r="B442" s="170" t="s">
        <v>940</v>
      </c>
      <c r="C442" s="73"/>
      <c r="D442" s="73" t="s">
        <v>941</v>
      </c>
      <c r="E442" s="73"/>
      <c r="N442" s="65" t="str">
        <f t="shared" si="22"/>
        <v/>
      </c>
      <c r="R442" s="65"/>
    </row>
    <row r="443" spans="2:18">
      <c r="B443" s="170" t="s">
        <v>945</v>
      </c>
      <c r="C443" s="73"/>
      <c r="D443" s="73" t="s">
        <v>946</v>
      </c>
      <c r="E443" s="73"/>
      <c r="N443" s="65" t="str">
        <f t="shared" si="22"/>
        <v/>
      </c>
      <c r="R443" s="65"/>
    </row>
    <row r="444" spans="2:18">
      <c r="B444" s="170" t="s">
        <v>950</v>
      </c>
      <c r="C444" s="73"/>
      <c r="D444" s="73" t="s">
        <v>951</v>
      </c>
      <c r="E444" s="73"/>
      <c r="N444" s="65" t="str">
        <f t="shared" si="22"/>
        <v/>
      </c>
      <c r="R444" s="65"/>
    </row>
    <row r="445" spans="2:18">
      <c r="B445" s="170" t="s">
        <v>954</v>
      </c>
      <c r="C445" s="73"/>
      <c r="D445" s="73" t="s">
        <v>955</v>
      </c>
      <c r="E445" s="73"/>
      <c r="N445" s="65" t="str">
        <f t="shared" si="22"/>
        <v/>
      </c>
      <c r="R445" s="65"/>
    </row>
    <row r="446" spans="2:18">
      <c r="B446" s="170" t="s">
        <v>959</v>
      </c>
      <c r="C446" s="73"/>
      <c r="D446" s="73" t="s">
        <v>960</v>
      </c>
      <c r="E446" s="73"/>
      <c r="N446" s="65" t="str">
        <f t="shared" si="22"/>
        <v/>
      </c>
      <c r="R446" s="65"/>
    </row>
    <row r="447" spans="2:18">
      <c r="B447" s="170" t="s">
        <v>964</v>
      </c>
      <c r="C447" s="73"/>
      <c r="D447" s="73" t="s">
        <v>965</v>
      </c>
      <c r="E447" s="73"/>
      <c r="N447" s="65" t="str">
        <f t="shared" si="22"/>
        <v/>
      </c>
      <c r="R447" s="65"/>
    </row>
    <row r="448" spans="2:18">
      <c r="B448" s="170" t="s">
        <v>966</v>
      </c>
      <c r="C448" s="73"/>
      <c r="D448" s="73" t="s">
        <v>967</v>
      </c>
      <c r="E448" s="73"/>
      <c r="N448" s="65" t="str">
        <f t="shared" si="22"/>
        <v/>
      </c>
      <c r="R448" s="65"/>
    </row>
    <row r="449" spans="2:18">
      <c r="B449" s="170" t="s">
        <v>971</v>
      </c>
      <c r="C449" s="73"/>
      <c r="D449" s="73" t="s">
        <v>972</v>
      </c>
      <c r="E449" s="73"/>
      <c r="N449" s="65" t="str">
        <f t="shared" si="22"/>
        <v/>
      </c>
      <c r="R449" s="65"/>
    </row>
    <row r="450" spans="2:18">
      <c r="B450" s="170" t="s">
        <v>976</v>
      </c>
      <c r="C450" s="73"/>
      <c r="D450" s="73" t="s">
        <v>977</v>
      </c>
      <c r="E450" s="73"/>
      <c r="N450" s="65" t="str">
        <f t="shared" si="22"/>
        <v/>
      </c>
      <c r="R450" s="65"/>
    </row>
    <row r="451" spans="2:18">
      <c r="B451" s="170" t="s">
        <v>981</v>
      </c>
      <c r="C451" s="73"/>
      <c r="D451" s="73" t="s">
        <v>982</v>
      </c>
      <c r="E451" s="73"/>
      <c r="N451" s="65" t="str">
        <f t="shared" ref="N451:N514" si="23">IF(ISERROR(FIND(" (include",P451)),"",RIGHT(P451,LEN(P451)-FIND(" (include",P451)))</f>
        <v/>
      </c>
      <c r="R451" s="65"/>
    </row>
    <row r="452" spans="2:18">
      <c r="B452" s="170" t="s">
        <v>986</v>
      </c>
      <c r="C452" s="73"/>
      <c r="D452" s="73" t="s">
        <v>987</v>
      </c>
      <c r="E452" s="73"/>
      <c r="N452" s="65" t="str">
        <f t="shared" si="23"/>
        <v/>
      </c>
      <c r="R452" s="65"/>
    </row>
    <row r="453" spans="2:18">
      <c r="B453" s="170" t="s">
        <v>991</v>
      </c>
      <c r="C453" s="73"/>
      <c r="D453" s="73" t="s">
        <v>992</v>
      </c>
      <c r="E453" s="73"/>
      <c r="N453" s="65" t="str">
        <f t="shared" si="23"/>
        <v/>
      </c>
      <c r="R453" s="65"/>
    </row>
    <row r="454" spans="2:18">
      <c r="B454" s="170" t="s">
        <v>996</v>
      </c>
      <c r="C454" s="73"/>
      <c r="D454" s="73" t="s">
        <v>997</v>
      </c>
      <c r="E454" s="73"/>
      <c r="N454" s="65" t="str">
        <f t="shared" si="23"/>
        <v/>
      </c>
      <c r="R454" s="65"/>
    </row>
    <row r="455" spans="2:18">
      <c r="B455" s="170" t="s">
        <v>1001</v>
      </c>
      <c r="C455" s="73"/>
      <c r="D455" s="73" t="s">
        <v>1002</v>
      </c>
      <c r="E455" s="73"/>
      <c r="N455" s="65" t="str">
        <f t="shared" si="23"/>
        <v/>
      </c>
      <c r="R455" s="65"/>
    </row>
    <row r="456" spans="2:18">
      <c r="B456" s="170" t="s">
        <v>1006</v>
      </c>
      <c r="C456" s="73"/>
      <c r="D456" s="73" t="s">
        <v>1007</v>
      </c>
      <c r="E456" s="73"/>
      <c r="N456" s="65" t="str">
        <f t="shared" si="23"/>
        <v/>
      </c>
      <c r="R456" s="65"/>
    </row>
    <row r="457" spans="2:18">
      <c r="B457" s="170" t="s">
        <v>1011</v>
      </c>
      <c r="C457" s="73"/>
      <c r="D457" s="73" t="s">
        <v>1012</v>
      </c>
      <c r="E457" s="73"/>
      <c r="N457" s="65" t="str">
        <f t="shared" si="23"/>
        <v/>
      </c>
      <c r="R457" s="65"/>
    </row>
    <row r="458" spans="2:18">
      <c r="B458" s="170" t="s">
        <v>1016</v>
      </c>
      <c r="C458" s="73"/>
      <c r="D458" s="73" t="s">
        <v>1017</v>
      </c>
      <c r="E458" s="73"/>
      <c r="N458" s="65" t="str">
        <f t="shared" si="23"/>
        <v/>
      </c>
      <c r="R458" s="65"/>
    </row>
    <row r="459" spans="2:18">
      <c r="B459" s="170" t="s">
        <v>1021</v>
      </c>
      <c r="C459" s="73"/>
      <c r="D459" s="73" t="s">
        <v>1022</v>
      </c>
      <c r="E459" s="73"/>
      <c r="N459" s="65" t="str">
        <f t="shared" si="23"/>
        <v/>
      </c>
      <c r="R459" s="65"/>
    </row>
    <row r="460" spans="2:18">
      <c r="B460" s="170" t="s">
        <v>1026</v>
      </c>
      <c r="C460" s="73"/>
      <c r="D460" s="73" t="s">
        <v>1027</v>
      </c>
      <c r="E460" s="73"/>
      <c r="N460" s="65" t="str">
        <f t="shared" si="23"/>
        <v/>
      </c>
      <c r="R460" s="65"/>
    </row>
    <row r="461" spans="2:18">
      <c r="B461" s="170" t="s">
        <v>1031</v>
      </c>
      <c r="C461" s="73"/>
      <c r="D461" s="73" t="s">
        <v>1032</v>
      </c>
      <c r="E461" s="73"/>
      <c r="N461" s="65" t="str">
        <f t="shared" si="23"/>
        <v/>
      </c>
      <c r="R461" s="65"/>
    </row>
    <row r="462" spans="2:18">
      <c r="B462" s="170" t="s">
        <v>1036</v>
      </c>
      <c r="C462" s="73"/>
      <c r="D462" s="73" t="s">
        <v>1037</v>
      </c>
      <c r="E462" s="73"/>
      <c r="N462" s="65" t="str">
        <f t="shared" si="23"/>
        <v/>
      </c>
      <c r="R462" s="65"/>
    </row>
    <row r="463" spans="2:18">
      <c r="B463" s="170" t="s">
        <v>1041</v>
      </c>
      <c r="C463" s="73"/>
      <c r="D463" s="73" t="s">
        <v>1042</v>
      </c>
      <c r="E463" s="73"/>
      <c r="N463" s="65" t="str">
        <f t="shared" si="23"/>
        <v/>
      </c>
      <c r="R463" s="65"/>
    </row>
    <row r="464" spans="2:18">
      <c r="B464" s="170" t="s">
        <v>1046</v>
      </c>
      <c r="C464" s="73"/>
      <c r="D464" s="73" t="s">
        <v>1047</v>
      </c>
      <c r="E464" s="73"/>
      <c r="N464" s="65" t="str">
        <f t="shared" si="23"/>
        <v/>
      </c>
      <c r="R464" s="65"/>
    </row>
    <row r="465" spans="2:18">
      <c r="B465" s="170" t="s">
        <v>1051</v>
      </c>
      <c r="C465" s="73"/>
      <c r="D465" s="73" t="s">
        <v>1052</v>
      </c>
      <c r="E465" s="73"/>
      <c r="N465" s="65" t="str">
        <f t="shared" si="23"/>
        <v/>
      </c>
      <c r="R465" s="65"/>
    </row>
    <row r="466" spans="2:18">
      <c r="B466" s="170" t="s">
        <v>1056</v>
      </c>
      <c r="C466" s="73"/>
      <c r="D466" s="73" t="s">
        <v>1057</v>
      </c>
      <c r="E466" s="73"/>
      <c r="N466" s="65" t="str">
        <f t="shared" si="23"/>
        <v/>
      </c>
      <c r="R466" s="65"/>
    </row>
    <row r="467" spans="2:18">
      <c r="B467" s="170" t="s">
        <v>1059</v>
      </c>
      <c r="C467" s="73"/>
      <c r="D467" s="73" t="s">
        <v>1060</v>
      </c>
      <c r="E467" s="73"/>
      <c r="N467" s="65" t="str">
        <f t="shared" si="23"/>
        <v/>
      </c>
      <c r="R467" s="65"/>
    </row>
    <row r="468" spans="2:18">
      <c r="B468" s="170" t="s">
        <v>1062</v>
      </c>
      <c r="C468" s="73"/>
      <c r="D468" s="73" t="s">
        <v>1063</v>
      </c>
      <c r="E468" s="73"/>
      <c r="N468" s="65" t="str">
        <f t="shared" si="23"/>
        <v/>
      </c>
      <c r="R468" s="65"/>
    </row>
    <row r="469" spans="2:18">
      <c r="B469" s="170" t="s">
        <v>1065</v>
      </c>
      <c r="C469" s="73"/>
      <c r="D469" s="73" t="s">
        <v>1066</v>
      </c>
      <c r="E469" s="73"/>
      <c r="N469" s="65" t="str">
        <f t="shared" si="23"/>
        <v/>
      </c>
      <c r="R469" s="65"/>
    </row>
    <row r="470" spans="2:18">
      <c r="B470" s="170" t="s">
        <v>1068</v>
      </c>
      <c r="C470" s="73"/>
      <c r="D470" s="73" t="s">
        <v>1069</v>
      </c>
      <c r="E470" s="73"/>
      <c r="N470" s="65" t="str">
        <f t="shared" si="23"/>
        <v/>
      </c>
      <c r="R470" s="65"/>
    </row>
    <row r="471" spans="2:18">
      <c r="B471" s="170" t="s">
        <v>1071</v>
      </c>
      <c r="C471" s="73"/>
      <c r="D471" s="73" t="s">
        <v>1072</v>
      </c>
      <c r="E471" s="73"/>
      <c r="N471" s="65" t="str">
        <f t="shared" si="23"/>
        <v/>
      </c>
      <c r="R471" s="65"/>
    </row>
    <row r="472" spans="2:18">
      <c r="B472" s="170" t="s">
        <v>1074</v>
      </c>
      <c r="C472" s="73"/>
      <c r="D472" s="73" t="s">
        <v>1075</v>
      </c>
      <c r="E472" s="73"/>
      <c r="N472" s="65" t="str">
        <f t="shared" si="23"/>
        <v/>
      </c>
      <c r="R472" s="65"/>
    </row>
    <row r="473" spans="2:18">
      <c r="B473" s="170" t="s">
        <v>1077</v>
      </c>
      <c r="C473" s="73"/>
      <c r="D473" s="73" t="s">
        <v>1078</v>
      </c>
      <c r="E473" s="73"/>
      <c r="N473" s="65" t="str">
        <f t="shared" si="23"/>
        <v/>
      </c>
      <c r="R473" s="65"/>
    </row>
    <row r="474" spans="2:18">
      <c r="B474" s="170" t="s">
        <v>1080</v>
      </c>
      <c r="C474" s="73"/>
      <c r="D474" s="73" t="s">
        <v>1081</v>
      </c>
      <c r="E474" s="73"/>
      <c r="N474" s="65" t="str">
        <f t="shared" si="23"/>
        <v/>
      </c>
      <c r="R474" s="65"/>
    </row>
    <row r="475" spans="2:18">
      <c r="B475" s="170" t="s">
        <v>1083</v>
      </c>
      <c r="C475" s="73"/>
      <c r="D475" s="73" t="s">
        <v>1084</v>
      </c>
      <c r="E475" s="73"/>
      <c r="N475" s="65" t="str">
        <f t="shared" si="23"/>
        <v/>
      </c>
      <c r="R475" s="65"/>
    </row>
    <row r="476" spans="2:18">
      <c r="B476" s="170" t="s">
        <v>1086</v>
      </c>
      <c r="C476" s="73"/>
      <c r="D476" s="73" t="s">
        <v>1087</v>
      </c>
      <c r="E476" s="73"/>
      <c r="N476" s="65" t="str">
        <f t="shared" si="23"/>
        <v/>
      </c>
      <c r="R476" s="65"/>
    </row>
    <row r="477" spans="2:18">
      <c r="B477" s="170" t="s">
        <v>1092</v>
      </c>
      <c r="C477" s="73"/>
      <c r="D477" s="73" t="s">
        <v>1093</v>
      </c>
      <c r="E477" s="73"/>
      <c r="N477" s="65" t="str">
        <f t="shared" si="23"/>
        <v/>
      </c>
      <c r="R477" s="65"/>
    </row>
    <row r="478" spans="2:18">
      <c r="B478" s="170" t="s">
        <v>1095</v>
      </c>
      <c r="C478" s="73"/>
      <c r="D478" s="73" t="s">
        <v>1096</v>
      </c>
      <c r="E478" s="73"/>
      <c r="N478" s="65" t="str">
        <f t="shared" si="23"/>
        <v/>
      </c>
      <c r="R478" s="65"/>
    </row>
    <row r="479" spans="2:18">
      <c r="B479" s="170" t="s">
        <v>1098</v>
      </c>
      <c r="C479" s="73"/>
      <c r="D479" s="73" t="s">
        <v>1099</v>
      </c>
      <c r="E479" s="73"/>
      <c r="N479" s="65" t="str">
        <f t="shared" si="23"/>
        <v/>
      </c>
      <c r="R479" s="65"/>
    </row>
    <row r="480" spans="2:18">
      <c r="B480" s="170" t="s">
        <v>1101</v>
      </c>
      <c r="C480" s="73"/>
      <c r="D480" s="73" t="s">
        <v>1102</v>
      </c>
      <c r="E480" s="73"/>
      <c r="N480" s="65" t="str">
        <f t="shared" si="23"/>
        <v/>
      </c>
      <c r="R480" s="65"/>
    </row>
    <row r="481" spans="2:18">
      <c r="B481" s="170" t="s">
        <v>1104</v>
      </c>
      <c r="C481" s="73"/>
      <c r="D481" s="73" t="s">
        <v>1105</v>
      </c>
      <c r="E481" s="73"/>
      <c r="N481" s="65" t="str">
        <f t="shared" si="23"/>
        <v/>
      </c>
      <c r="R481" s="65"/>
    </row>
    <row r="482" spans="2:18">
      <c r="B482" s="170" t="s">
        <v>3537</v>
      </c>
      <c r="C482" s="73"/>
      <c r="D482" s="73" t="s">
        <v>1110</v>
      </c>
      <c r="E482" s="73"/>
      <c r="N482" s="65" t="str">
        <f t="shared" si="23"/>
        <v/>
      </c>
      <c r="R482" s="65"/>
    </row>
    <row r="483" spans="2:18">
      <c r="B483" s="170" t="s">
        <v>3538</v>
      </c>
      <c r="C483" s="73"/>
      <c r="D483" s="73" t="s">
        <v>3539</v>
      </c>
      <c r="E483" s="73"/>
      <c r="N483" s="65" t="str">
        <f t="shared" si="23"/>
        <v/>
      </c>
      <c r="R483" s="65"/>
    </row>
    <row r="484" spans="2:18">
      <c r="B484" s="170" t="s">
        <v>3536</v>
      </c>
      <c r="C484" s="73"/>
      <c r="D484" s="73" t="s">
        <v>3540</v>
      </c>
      <c r="E484" s="73"/>
      <c r="N484" s="65" t="str">
        <f t="shared" si="23"/>
        <v/>
      </c>
      <c r="R484" s="65"/>
    </row>
    <row r="485" spans="2:18">
      <c r="B485" s="170" t="s">
        <v>3536</v>
      </c>
      <c r="C485" s="73"/>
      <c r="D485" s="73" t="s">
        <v>3540</v>
      </c>
      <c r="E485" s="73"/>
      <c r="N485" s="65" t="str">
        <f t="shared" si="23"/>
        <v/>
      </c>
      <c r="R485" s="65"/>
    </row>
    <row r="486" spans="2:18">
      <c r="B486" s="170" t="s">
        <v>1115</v>
      </c>
      <c r="C486" s="73"/>
      <c r="D486" s="73" t="s">
        <v>1116</v>
      </c>
      <c r="E486" s="73"/>
      <c r="N486" s="65" t="str">
        <f t="shared" si="23"/>
        <v/>
      </c>
      <c r="R486" s="65"/>
    </row>
    <row r="487" spans="2:18">
      <c r="B487" s="170" t="s">
        <v>1118</v>
      </c>
      <c r="C487" s="73"/>
      <c r="D487" s="73" t="s">
        <v>1119</v>
      </c>
      <c r="E487" s="73"/>
      <c r="N487" s="65" t="str">
        <f t="shared" si="23"/>
        <v/>
      </c>
      <c r="R487" s="65"/>
    </row>
    <row r="488" spans="2:18">
      <c r="B488" s="170" t="s">
        <v>1121</v>
      </c>
      <c r="C488" s="73"/>
      <c r="D488" s="73" t="s">
        <v>1122</v>
      </c>
      <c r="E488" s="73"/>
      <c r="N488" s="65" t="str">
        <f t="shared" si="23"/>
        <v/>
      </c>
      <c r="R488" s="65"/>
    </row>
    <row r="489" spans="2:18">
      <c r="B489" s="170" t="s">
        <v>1124</v>
      </c>
      <c r="C489" s="73"/>
      <c r="D489" s="73" t="s">
        <v>1125</v>
      </c>
      <c r="E489" s="73"/>
      <c r="N489" s="65" t="str">
        <f t="shared" si="23"/>
        <v/>
      </c>
      <c r="R489" s="65"/>
    </row>
    <row r="490" spans="2:18">
      <c r="B490" s="170" t="s">
        <v>1127</v>
      </c>
      <c r="C490" s="73"/>
      <c r="D490" s="73" t="s">
        <v>1128</v>
      </c>
      <c r="E490" s="73"/>
      <c r="N490" s="65" t="str">
        <f t="shared" si="23"/>
        <v/>
      </c>
      <c r="R490" s="65"/>
    </row>
    <row r="491" spans="2:18">
      <c r="B491" s="170" t="s">
        <v>1130</v>
      </c>
      <c r="C491" s="73"/>
      <c r="D491" s="73" t="s">
        <v>1131</v>
      </c>
      <c r="E491" s="73"/>
      <c r="N491" s="65" t="str">
        <f t="shared" si="23"/>
        <v/>
      </c>
      <c r="R491" s="65"/>
    </row>
    <row r="492" spans="2:18">
      <c r="B492" s="170" t="s">
        <v>1133</v>
      </c>
      <c r="C492" s="73"/>
      <c r="D492" s="73" t="s">
        <v>1134</v>
      </c>
      <c r="E492" s="73"/>
      <c r="N492" s="65" t="str">
        <f t="shared" si="23"/>
        <v/>
      </c>
      <c r="R492" s="65"/>
    </row>
    <row r="493" spans="2:18">
      <c r="B493" s="170" t="s">
        <v>1136</v>
      </c>
      <c r="C493" s="73"/>
      <c r="D493" s="73" t="s">
        <v>1137</v>
      </c>
      <c r="E493" s="73"/>
      <c r="N493" s="65" t="str">
        <f t="shared" si="23"/>
        <v/>
      </c>
      <c r="R493" s="65"/>
    </row>
    <row r="494" spans="2:18">
      <c r="B494" s="170" t="s">
        <v>1139</v>
      </c>
      <c r="C494" s="73"/>
      <c r="D494" s="73" t="s">
        <v>1140</v>
      </c>
      <c r="E494" s="73"/>
      <c r="N494" s="65" t="str">
        <f t="shared" si="23"/>
        <v/>
      </c>
      <c r="R494" s="65"/>
    </row>
    <row r="495" spans="2:18">
      <c r="B495" s="170" t="s">
        <v>1142</v>
      </c>
      <c r="C495" s="73"/>
      <c r="D495" s="73" t="s">
        <v>1143</v>
      </c>
      <c r="E495" s="73"/>
      <c r="N495" s="65" t="str">
        <f t="shared" si="23"/>
        <v/>
      </c>
      <c r="R495" s="65"/>
    </row>
    <row r="496" spans="2:18">
      <c r="B496" s="170" t="s">
        <v>1145</v>
      </c>
      <c r="C496" s="73"/>
      <c r="D496" s="73" t="s">
        <v>1146</v>
      </c>
      <c r="E496" s="73"/>
      <c r="N496" s="65" t="str">
        <f t="shared" si="23"/>
        <v/>
      </c>
      <c r="R496" s="65"/>
    </row>
    <row r="497" spans="2:18">
      <c r="B497" s="170" t="s">
        <v>1148</v>
      </c>
      <c r="C497" s="73"/>
      <c r="D497" s="73" t="s">
        <v>1149</v>
      </c>
      <c r="E497" s="73"/>
      <c r="N497" s="65" t="str">
        <f t="shared" si="23"/>
        <v/>
      </c>
      <c r="R497" s="65"/>
    </row>
    <row r="498" spans="2:18">
      <c r="B498" s="170" t="s">
        <v>1151</v>
      </c>
      <c r="C498" s="73"/>
      <c r="D498" s="73" t="s">
        <v>1152</v>
      </c>
      <c r="E498" s="73"/>
      <c r="N498" s="65" t="str">
        <f t="shared" si="23"/>
        <v/>
      </c>
      <c r="R498" s="65"/>
    </row>
    <row r="499" spans="2:18">
      <c r="B499" s="170" t="s">
        <v>1154</v>
      </c>
      <c r="C499" s="73"/>
      <c r="D499" s="73" t="s">
        <v>1154</v>
      </c>
      <c r="E499" s="73"/>
      <c r="N499" s="65" t="str">
        <f t="shared" si="23"/>
        <v/>
      </c>
      <c r="R499" s="65"/>
    </row>
    <row r="500" spans="2:18">
      <c r="B500" s="170" t="s">
        <v>1156</v>
      </c>
      <c r="C500" s="73"/>
      <c r="D500" s="73" t="s">
        <v>1157</v>
      </c>
      <c r="E500" s="73"/>
      <c r="N500" s="65" t="str">
        <f t="shared" si="23"/>
        <v/>
      </c>
      <c r="R500" s="65"/>
    </row>
    <row r="501" spans="2:18">
      <c r="B501" s="170" t="s">
        <v>1162</v>
      </c>
      <c r="C501" s="73"/>
      <c r="D501" s="73" t="s">
        <v>1163</v>
      </c>
      <c r="E501" s="73"/>
      <c r="N501" s="65" t="str">
        <f t="shared" si="23"/>
        <v/>
      </c>
      <c r="R501" s="65"/>
    </row>
    <row r="502" spans="2:18">
      <c r="B502" s="170" t="s">
        <v>1165</v>
      </c>
      <c r="C502" s="73"/>
      <c r="D502" s="73" t="s">
        <v>1166</v>
      </c>
      <c r="E502" s="73"/>
      <c r="N502" s="65" t="str">
        <f t="shared" si="23"/>
        <v/>
      </c>
      <c r="R502" s="65"/>
    </row>
    <row r="503" spans="2:18">
      <c r="B503" s="170" t="s">
        <v>1168</v>
      </c>
      <c r="C503" s="73"/>
      <c r="D503" s="73" t="s">
        <v>1169</v>
      </c>
      <c r="E503" s="73"/>
      <c r="N503" s="65" t="str">
        <f t="shared" si="23"/>
        <v/>
      </c>
      <c r="R503" s="65"/>
    </row>
    <row r="504" spans="2:18">
      <c r="B504" s="170" t="s">
        <v>1170</v>
      </c>
      <c r="C504" s="73"/>
      <c r="D504" s="73" t="s">
        <v>1171</v>
      </c>
      <c r="E504" s="73"/>
      <c r="N504" s="65" t="str">
        <f t="shared" si="23"/>
        <v/>
      </c>
      <c r="R504" s="65"/>
    </row>
    <row r="505" spans="2:18">
      <c r="B505" s="170" t="s">
        <v>1173</v>
      </c>
      <c r="C505" s="73"/>
      <c r="D505" s="73" t="s">
        <v>1174</v>
      </c>
      <c r="E505" s="73"/>
      <c r="N505" s="65" t="str">
        <f t="shared" si="23"/>
        <v/>
      </c>
      <c r="R505" s="65"/>
    </row>
    <row r="506" spans="2:18">
      <c r="B506" s="170" t="s">
        <v>1175</v>
      </c>
      <c r="C506" s="73"/>
      <c r="D506" s="73" t="s">
        <v>1176</v>
      </c>
      <c r="E506" s="73"/>
      <c r="N506" s="65" t="str">
        <f t="shared" si="23"/>
        <v/>
      </c>
      <c r="R506" s="65"/>
    </row>
    <row r="507" spans="2:18">
      <c r="B507" s="170" t="s">
        <v>1178</v>
      </c>
      <c r="C507" s="73"/>
      <c r="D507" s="73" t="s">
        <v>1179</v>
      </c>
      <c r="E507" s="73"/>
      <c r="N507" s="65" t="str">
        <f t="shared" si="23"/>
        <v/>
      </c>
      <c r="R507" s="65"/>
    </row>
    <row r="508" spans="2:18">
      <c r="B508" s="170" t="s">
        <v>1181</v>
      </c>
      <c r="C508" s="73"/>
      <c r="D508" s="73" t="s">
        <v>1182</v>
      </c>
      <c r="E508" s="73"/>
      <c r="N508" s="65" t="str">
        <f t="shared" si="23"/>
        <v/>
      </c>
      <c r="R508" s="65"/>
    </row>
    <row r="509" spans="2:18">
      <c r="B509" s="170" t="s">
        <v>1184</v>
      </c>
      <c r="C509" s="73"/>
      <c r="D509" s="73" t="s">
        <v>1185</v>
      </c>
      <c r="E509" s="73"/>
      <c r="N509" s="65" t="str">
        <f t="shared" si="23"/>
        <v/>
      </c>
      <c r="R509" s="65"/>
    </row>
    <row r="510" spans="2:18">
      <c r="B510" s="170" t="s">
        <v>1187</v>
      </c>
      <c r="C510" s="73"/>
      <c r="D510" s="73" t="s">
        <v>1188</v>
      </c>
      <c r="E510" s="73"/>
      <c r="N510" s="65" t="str">
        <f t="shared" si="23"/>
        <v/>
      </c>
      <c r="R510" s="65"/>
    </row>
    <row r="511" spans="2:18">
      <c r="B511" s="170" t="s">
        <v>1190</v>
      </c>
      <c r="C511" s="73"/>
      <c r="D511" s="73" t="s">
        <v>1191</v>
      </c>
      <c r="E511" s="73"/>
      <c r="N511" s="65" t="str">
        <f t="shared" si="23"/>
        <v/>
      </c>
      <c r="R511" s="65"/>
    </row>
    <row r="512" spans="2:18">
      <c r="B512" s="170" t="s">
        <v>1193</v>
      </c>
      <c r="C512" s="73"/>
      <c r="D512" s="73" t="s">
        <v>1194</v>
      </c>
      <c r="E512" s="73"/>
      <c r="N512" s="65" t="str">
        <f t="shared" si="23"/>
        <v/>
      </c>
      <c r="R512" s="65"/>
    </row>
    <row r="513" spans="2:18">
      <c r="B513" s="170" t="s">
        <v>1196</v>
      </c>
      <c r="C513" s="73"/>
      <c r="D513" s="73" t="s">
        <v>1197</v>
      </c>
      <c r="E513" s="73"/>
      <c r="N513" s="65" t="str">
        <f t="shared" si="23"/>
        <v/>
      </c>
      <c r="R513" s="65"/>
    </row>
    <row r="514" spans="2:18">
      <c r="B514" s="170" t="s">
        <v>1199</v>
      </c>
      <c r="C514" s="73"/>
      <c r="D514" s="73" t="s">
        <v>1200</v>
      </c>
      <c r="E514" s="73"/>
      <c r="N514" s="65" t="str">
        <f t="shared" si="23"/>
        <v/>
      </c>
      <c r="R514" s="65"/>
    </row>
    <row r="515" spans="2:18">
      <c r="B515" s="170" t="s">
        <v>1202</v>
      </c>
      <c r="C515" s="73"/>
      <c r="D515" s="73" t="s">
        <v>1203</v>
      </c>
      <c r="E515" s="73"/>
      <c r="N515" s="65" t="str">
        <f t="shared" ref="N515:N578" si="24">IF(ISERROR(FIND(" (include",P515)),"",RIGHT(P515,LEN(P515)-FIND(" (include",P515)))</f>
        <v/>
      </c>
      <c r="R515" s="65"/>
    </row>
    <row r="516" spans="2:18">
      <c r="B516" s="170" t="s">
        <v>1205</v>
      </c>
      <c r="C516" s="73"/>
      <c r="D516" s="73" t="s">
        <v>1206</v>
      </c>
      <c r="E516" s="73"/>
      <c r="N516" s="65" t="str">
        <f t="shared" si="24"/>
        <v/>
      </c>
      <c r="R516" s="65"/>
    </row>
    <row r="517" spans="2:18">
      <c r="B517" s="170" t="s">
        <v>1208</v>
      </c>
      <c r="C517" s="73"/>
      <c r="D517" s="73" t="s">
        <v>1209</v>
      </c>
      <c r="E517" s="73"/>
      <c r="N517" s="65" t="str">
        <f t="shared" si="24"/>
        <v/>
      </c>
      <c r="R517" s="65"/>
    </row>
    <row r="518" spans="2:18">
      <c r="B518" s="170" t="s">
        <v>1211</v>
      </c>
      <c r="C518" s="73"/>
      <c r="D518" s="73" t="s">
        <v>1212</v>
      </c>
      <c r="E518" s="73"/>
      <c r="N518" s="65" t="str">
        <f t="shared" si="24"/>
        <v/>
      </c>
      <c r="R518" s="65"/>
    </row>
    <row r="519" spans="2:18">
      <c r="B519" s="170" t="s">
        <v>1214</v>
      </c>
      <c r="C519" s="73"/>
      <c r="D519" s="73" t="s">
        <v>1215</v>
      </c>
      <c r="E519" s="73"/>
      <c r="N519" s="65" t="str">
        <f t="shared" si="24"/>
        <v/>
      </c>
      <c r="R519" s="65"/>
    </row>
    <row r="520" spans="2:18">
      <c r="B520" s="170" t="s">
        <v>1217</v>
      </c>
      <c r="C520" s="73"/>
      <c r="D520" s="73" t="s">
        <v>1218</v>
      </c>
      <c r="E520" s="73"/>
      <c r="N520" s="65" t="str">
        <f t="shared" si="24"/>
        <v/>
      </c>
      <c r="R520" s="65"/>
    </row>
    <row r="521" spans="2:18">
      <c r="B521" s="170" t="s">
        <v>1220</v>
      </c>
      <c r="C521" s="73"/>
      <c r="D521" s="73" t="s">
        <v>1221</v>
      </c>
      <c r="E521" s="73"/>
      <c r="N521" s="65" t="str">
        <f t="shared" si="24"/>
        <v/>
      </c>
      <c r="R521" s="65"/>
    </row>
    <row r="522" spans="2:18">
      <c r="B522" s="170" t="s">
        <v>1223</v>
      </c>
      <c r="C522" s="73"/>
      <c r="D522" s="73" t="s">
        <v>1224</v>
      </c>
      <c r="E522" s="73"/>
      <c r="N522" s="65" t="str">
        <f t="shared" si="24"/>
        <v/>
      </c>
      <c r="R522" s="65"/>
    </row>
    <row r="523" spans="2:18">
      <c r="B523" s="170" t="s">
        <v>1226</v>
      </c>
      <c r="C523" s="73"/>
      <c r="D523" s="73" t="s">
        <v>1227</v>
      </c>
      <c r="E523" s="73"/>
      <c r="N523" s="65" t="str">
        <f t="shared" si="24"/>
        <v/>
      </c>
      <c r="R523" s="65"/>
    </row>
    <row r="524" spans="2:18">
      <c r="B524" s="170" t="s">
        <v>1229</v>
      </c>
      <c r="C524" s="73"/>
      <c r="D524" s="73" t="s">
        <v>1230</v>
      </c>
      <c r="E524" s="73"/>
      <c r="N524" s="65" t="str">
        <f t="shared" si="24"/>
        <v/>
      </c>
      <c r="R524" s="65"/>
    </row>
    <row r="525" spans="2:18">
      <c r="B525" s="170" t="s">
        <v>1232</v>
      </c>
      <c r="C525" s="73"/>
      <c r="D525" s="73" t="s">
        <v>1233</v>
      </c>
      <c r="E525" s="73"/>
      <c r="N525" s="65" t="str">
        <f t="shared" si="24"/>
        <v/>
      </c>
      <c r="R525" s="65"/>
    </row>
    <row r="526" spans="2:18">
      <c r="B526" s="170" t="s">
        <v>1235</v>
      </c>
      <c r="C526" s="73"/>
      <c r="D526" s="73" t="s">
        <v>1236</v>
      </c>
      <c r="E526" s="73"/>
      <c r="N526" s="65" t="str">
        <f t="shared" si="24"/>
        <v/>
      </c>
      <c r="R526" s="65"/>
    </row>
    <row r="527" spans="2:18" ht="25.5">
      <c r="B527" s="170" t="s">
        <v>1238</v>
      </c>
      <c r="C527" s="73"/>
      <c r="D527" s="73" t="s">
        <v>1239</v>
      </c>
      <c r="E527" s="73"/>
      <c r="N527" s="65" t="str">
        <f t="shared" si="24"/>
        <v/>
      </c>
      <c r="R527" s="65"/>
    </row>
    <row r="528" spans="2:18">
      <c r="B528" s="170" t="s">
        <v>1241</v>
      </c>
      <c r="C528" s="73"/>
      <c r="D528" s="73" t="s">
        <v>1242</v>
      </c>
      <c r="E528" s="73"/>
      <c r="N528" s="65" t="str">
        <f t="shared" si="24"/>
        <v/>
      </c>
      <c r="R528" s="65"/>
    </row>
    <row r="529" spans="2:18">
      <c r="B529" s="170" t="s">
        <v>1244</v>
      </c>
      <c r="C529" s="73"/>
      <c r="D529" s="73" t="s">
        <v>1245</v>
      </c>
      <c r="E529" s="73"/>
      <c r="N529" s="65" t="str">
        <f t="shared" si="24"/>
        <v/>
      </c>
      <c r="R529" s="65"/>
    </row>
    <row r="530" spans="2:18">
      <c r="B530" s="170" t="s">
        <v>1247</v>
      </c>
      <c r="C530" s="73"/>
      <c r="D530" s="73" t="s">
        <v>1248</v>
      </c>
      <c r="E530" s="73"/>
      <c r="N530" s="65" t="str">
        <f t="shared" si="24"/>
        <v/>
      </c>
      <c r="R530" s="65"/>
    </row>
    <row r="531" spans="2:18">
      <c r="B531" s="170" t="s">
        <v>1250</v>
      </c>
      <c r="C531" s="73"/>
      <c r="D531" s="73" t="s">
        <v>1251</v>
      </c>
      <c r="E531" s="73"/>
      <c r="N531" s="65" t="str">
        <f t="shared" si="24"/>
        <v/>
      </c>
      <c r="R531" s="65"/>
    </row>
    <row r="532" spans="2:18">
      <c r="B532" s="170" t="s">
        <v>1253</v>
      </c>
      <c r="C532" s="73"/>
      <c r="D532" s="73" t="s">
        <v>1254</v>
      </c>
      <c r="E532" s="73"/>
      <c r="N532" s="65" t="str">
        <f t="shared" si="24"/>
        <v/>
      </c>
      <c r="R532" s="65"/>
    </row>
    <row r="533" spans="2:18">
      <c r="B533" s="170" t="s">
        <v>1256</v>
      </c>
      <c r="C533" s="73"/>
      <c r="D533" s="73" t="s">
        <v>1257</v>
      </c>
      <c r="E533" s="73"/>
      <c r="N533" s="65" t="str">
        <f t="shared" si="24"/>
        <v/>
      </c>
      <c r="R533" s="65"/>
    </row>
    <row r="534" spans="2:18">
      <c r="B534" s="170" t="s">
        <v>1259</v>
      </c>
      <c r="C534" s="73"/>
      <c r="D534" s="73" t="s">
        <v>1260</v>
      </c>
      <c r="E534" s="73"/>
      <c r="N534" s="65" t="str">
        <f t="shared" si="24"/>
        <v/>
      </c>
      <c r="R534" s="65"/>
    </row>
    <row r="535" spans="2:18">
      <c r="B535" s="170" t="s">
        <v>1262</v>
      </c>
      <c r="C535" s="73"/>
      <c r="D535" s="73" t="s">
        <v>1263</v>
      </c>
      <c r="E535" s="73"/>
      <c r="N535" s="65" t="str">
        <f t="shared" si="24"/>
        <v/>
      </c>
      <c r="R535" s="65"/>
    </row>
    <row r="536" spans="2:18">
      <c r="B536" s="170" t="s">
        <v>1265</v>
      </c>
      <c r="C536" s="73"/>
      <c r="D536" s="73" t="s">
        <v>1266</v>
      </c>
      <c r="E536" s="73"/>
      <c r="N536" s="65" t="str">
        <f t="shared" si="24"/>
        <v/>
      </c>
      <c r="R536" s="65"/>
    </row>
    <row r="537" spans="2:18">
      <c r="B537" s="170" t="s">
        <v>1268</v>
      </c>
      <c r="C537" s="73"/>
      <c r="D537" s="73" t="s">
        <v>1269</v>
      </c>
      <c r="E537" s="73"/>
      <c r="N537" s="65" t="str">
        <f t="shared" si="24"/>
        <v/>
      </c>
      <c r="R537" s="65"/>
    </row>
    <row r="538" spans="2:18">
      <c r="B538" s="170" t="s">
        <v>1271</v>
      </c>
      <c r="C538" s="73"/>
      <c r="D538" s="73" t="s">
        <v>1272</v>
      </c>
      <c r="E538" s="73"/>
      <c r="N538" s="65" t="str">
        <f t="shared" si="24"/>
        <v/>
      </c>
      <c r="R538" s="65"/>
    </row>
    <row r="539" spans="2:18">
      <c r="B539" s="170" t="s">
        <v>1273</v>
      </c>
      <c r="C539" s="73"/>
      <c r="D539" s="73" t="s">
        <v>1274</v>
      </c>
      <c r="E539" s="73"/>
      <c r="N539" s="65" t="str">
        <f t="shared" si="24"/>
        <v/>
      </c>
      <c r="R539" s="65"/>
    </row>
    <row r="540" spans="2:18">
      <c r="B540" s="170" t="s">
        <v>1275</v>
      </c>
      <c r="C540" s="73"/>
      <c r="D540" s="73" t="s">
        <v>1276</v>
      </c>
      <c r="E540" s="73"/>
      <c r="N540" s="65" t="str">
        <f t="shared" si="24"/>
        <v/>
      </c>
      <c r="R540" s="65"/>
    </row>
    <row r="541" spans="2:18">
      <c r="B541" s="170" t="s">
        <v>1277</v>
      </c>
      <c r="C541" s="73"/>
      <c r="D541" s="73" t="s">
        <v>1278</v>
      </c>
      <c r="E541" s="73"/>
      <c r="N541" s="65" t="str">
        <f t="shared" si="24"/>
        <v/>
      </c>
      <c r="R541" s="65"/>
    </row>
    <row r="542" spans="2:18">
      <c r="B542" s="170" t="s">
        <v>1279</v>
      </c>
      <c r="C542" s="73"/>
      <c r="D542" s="73" t="s">
        <v>1280</v>
      </c>
      <c r="E542" s="73"/>
      <c r="N542" s="65" t="str">
        <f t="shared" si="24"/>
        <v/>
      </c>
      <c r="R542" s="65"/>
    </row>
    <row r="543" spans="2:18">
      <c r="B543" s="170" t="s">
        <v>1281</v>
      </c>
      <c r="C543" s="73"/>
      <c r="D543" s="73" t="s">
        <v>1282</v>
      </c>
      <c r="E543" s="73"/>
      <c r="N543" s="65" t="str">
        <f t="shared" si="24"/>
        <v/>
      </c>
      <c r="R543" s="65"/>
    </row>
    <row r="544" spans="2:18">
      <c r="B544" s="170" t="s">
        <v>1284</v>
      </c>
      <c r="C544" s="73"/>
      <c r="D544" s="73" t="s">
        <v>1285</v>
      </c>
      <c r="E544" s="73"/>
      <c r="N544" s="65" t="str">
        <f t="shared" si="24"/>
        <v/>
      </c>
      <c r="R544" s="65"/>
    </row>
    <row r="545" spans="2:18">
      <c r="B545" s="170" t="s">
        <v>1287</v>
      </c>
      <c r="C545" s="73"/>
      <c r="D545" s="73" t="s">
        <v>1288</v>
      </c>
      <c r="E545" s="73"/>
      <c r="N545" s="65" t="str">
        <f t="shared" si="24"/>
        <v/>
      </c>
      <c r="R545" s="65"/>
    </row>
    <row r="546" spans="2:18">
      <c r="B546" s="170" t="s">
        <v>1289</v>
      </c>
      <c r="C546" s="73"/>
      <c r="D546" s="73" t="s">
        <v>1290</v>
      </c>
      <c r="E546" s="73"/>
      <c r="N546" s="65" t="str">
        <f t="shared" si="24"/>
        <v/>
      </c>
      <c r="R546" s="65"/>
    </row>
    <row r="547" spans="2:18">
      <c r="B547" s="170" t="s">
        <v>1291</v>
      </c>
      <c r="C547" s="73"/>
      <c r="D547" s="73" t="s">
        <v>1292</v>
      </c>
      <c r="E547" s="73"/>
      <c r="N547" s="65" t="str">
        <f t="shared" si="24"/>
        <v/>
      </c>
      <c r="R547" s="65"/>
    </row>
    <row r="548" spans="2:18">
      <c r="B548" s="170" t="s">
        <v>1294</v>
      </c>
      <c r="C548" s="73"/>
      <c r="D548" s="73" t="s">
        <v>1295</v>
      </c>
      <c r="E548" s="73"/>
      <c r="N548" s="65" t="str">
        <f t="shared" si="24"/>
        <v/>
      </c>
      <c r="R548" s="65"/>
    </row>
    <row r="549" spans="2:18">
      <c r="B549" s="170" t="s">
        <v>1296</v>
      </c>
      <c r="C549" s="73"/>
      <c r="D549" s="73" t="s">
        <v>1297</v>
      </c>
      <c r="E549" s="73"/>
      <c r="N549" s="65" t="str">
        <f t="shared" si="24"/>
        <v/>
      </c>
      <c r="R549" s="65"/>
    </row>
    <row r="550" spans="2:18">
      <c r="B550" s="170" t="s">
        <v>1298</v>
      </c>
      <c r="C550" s="73"/>
      <c r="D550" s="73" t="s">
        <v>1299</v>
      </c>
      <c r="E550" s="73"/>
      <c r="N550" s="65" t="str">
        <f t="shared" si="24"/>
        <v/>
      </c>
      <c r="R550" s="65"/>
    </row>
    <row r="551" spans="2:18">
      <c r="B551" s="170" t="s">
        <v>1301</v>
      </c>
      <c r="C551" s="73"/>
      <c r="D551" s="73" t="s">
        <v>1302</v>
      </c>
      <c r="E551" s="73"/>
      <c r="N551" s="65" t="str">
        <f t="shared" si="24"/>
        <v/>
      </c>
      <c r="R551" s="65"/>
    </row>
    <row r="552" spans="2:18">
      <c r="B552" s="170" t="s">
        <v>1303</v>
      </c>
      <c r="C552" s="73"/>
      <c r="D552" s="73" t="s">
        <v>1304</v>
      </c>
      <c r="E552" s="73"/>
      <c r="N552" s="65" t="str">
        <f t="shared" si="24"/>
        <v/>
      </c>
      <c r="R552" s="65"/>
    </row>
    <row r="553" spans="2:18">
      <c r="B553" s="170" t="s">
        <v>1305</v>
      </c>
      <c r="C553" s="73"/>
      <c r="D553" s="73" t="s">
        <v>1306</v>
      </c>
      <c r="E553" s="73"/>
      <c r="N553" s="65" t="str">
        <f t="shared" si="24"/>
        <v/>
      </c>
      <c r="R553" s="65"/>
    </row>
    <row r="554" spans="2:18">
      <c r="B554" s="170" t="s">
        <v>1307</v>
      </c>
      <c r="C554" s="73"/>
      <c r="D554" s="73" t="s">
        <v>1308</v>
      </c>
      <c r="E554" s="73"/>
      <c r="N554" s="65" t="str">
        <f t="shared" si="24"/>
        <v/>
      </c>
      <c r="R554" s="65"/>
    </row>
    <row r="555" spans="2:18">
      <c r="B555" s="170" t="s">
        <v>1310</v>
      </c>
      <c r="C555" s="73"/>
      <c r="D555" s="73" t="s">
        <v>1311</v>
      </c>
      <c r="E555" s="73"/>
      <c r="N555" s="65" t="str">
        <f t="shared" si="24"/>
        <v/>
      </c>
      <c r="R555" s="65"/>
    </row>
    <row r="556" spans="2:18">
      <c r="B556" s="170" t="s">
        <v>1312</v>
      </c>
      <c r="C556" s="73"/>
      <c r="D556" s="73" t="s">
        <v>1313</v>
      </c>
      <c r="E556" s="73"/>
      <c r="N556" s="65" t="str">
        <f t="shared" si="24"/>
        <v/>
      </c>
      <c r="R556" s="65"/>
    </row>
    <row r="557" spans="2:18">
      <c r="B557" s="170" t="s">
        <v>1314</v>
      </c>
      <c r="C557" s="73"/>
      <c r="D557" s="73" t="s">
        <v>1315</v>
      </c>
      <c r="E557" s="73"/>
      <c r="N557" s="65" t="str">
        <f t="shared" si="24"/>
        <v/>
      </c>
      <c r="R557" s="65"/>
    </row>
    <row r="558" spans="2:18">
      <c r="B558" s="170" t="s">
        <v>1316</v>
      </c>
      <c r="C558" s="73"/>
      <c r="D558" s="73" t="s">
        <v>1317</v>
      </c>
      <c r="E558" s="73"/>
      <c r="N558" s="65" t="str">
        <f t="shared" si="24"/>
        <v/>
      </c>
      <c r="R558" s="65"/>
    </row>
    <row r="559" spans="2:18">
      <c r="B559" s="170" t="s">
        <v>1318</v>
      </c>
      <c r="C559" s="73"/>
      <c r="D559" s="73" t="s">
        <v>1319</v>
      </c>
      <c r="E559" s="73"/>
      <c r="N559" s="65" t="str">
        <f t="shared" si="24"/>
        <v/>
      </c>
      <c r="R559" s="65"/>
    </row>
    <row r="560" spans="2:18">
      <c r="B560" s="170" t="s">
        <v>1320</v>
      </c>
      <c r="C560" s="73"/>
      <c r="D560" s="73" t="s">
        <v>1321</v>
      </c>
      <c r="E560" s="73"/>
      <c r="N560" s="65" t="str">
        <f t="shared" si="24"/>
        <v/>
      </c>
      <c r="R560" s="65"/>
    </row>
    <row r="561" spans="2:18">
      <c r="B561" s="170" t="s">
        <v>1322</v>
      </c>
      <c r="C561" s="73"/>
      <c r="D561" s="73" t="s">
        <v>1323</v>
      </c>
      <c r="E561" s="73"/>
      <c r="N561" s="65" t="str">
        <f t="shared" si="24"/>
        <v/>
      </c>
      <c r="R561" s="65"/>
    </row>
    <row r="562" spans="2:18">
      <c r="B562" s="170" t="s">
        <v>1324</v>
      </c>
      <c r="C562" s="73"/>
      <c r="D562" s="73" t="s">
        <v>1325</v>
      </c>
      <c r="E562" s="73"/>
      <c r="N562" s="65" t="str">
        <f t="shared" si="24"/>
        <v/>
      </c>
      <c r="R562" s="65"/>
    </row>
    <row r="563" spans="2:18">
      <c r="B563" s="170" t="s">
        <v>1326</v>
      </c>
      <c r="C563" s="73"/>
      <c r="D563" s="73" t="s">
        <v>1327</v>
      </c>
      <c r="E563" s="73"/>
      <c r="N563" s="65" t="str">
        <f t="shared" si="24"/>
        <v/>
      </c>
      <c r="R563" s="65"/>
    </row>
    <row r="564" spans="2:18">
      <c r="B564" s="170" t="s">
        <v>1328</v>
      </c>
      <c r="C564" s="73"/>
      <c r="D564" s="73" t="s">
        <v>1329</v>
      </c>
      <c r="E564" s="73"/>
      <c r="N564" s="65" t="str">
        <f t="shared" si="24"/>
        <v/>
      </c>
      <c r="R564" s="65"/>
    </row>
    <row r="565" spans="2:18">
      <c r="B565" s="170" t="s">
        <v>1330</v>
      </c>
      <c r="C565" s="73"/>
      <c r="D565" s="73" t="s">
        <v>1331</v>
      </c>
      <c r="E565" s="73"/>
      <c r="N565" s="65" t="str">
        <f t="shared" si="24"/>
        <v/>
      </c>
      <c r="R565" s="65"/>
    </row>
    <row r="566" spans="2:18">
      <c r="B566" s="170" t="s">
        <v>1332</v>
      </c>
      <c r="C566" s="73"/>
      <c r="D566" s="73" t="s">
        <v>1333</v>
      </c>
      <c r="E566" s="73"/>
      <c r="N566" s="65" t="str">
        <f t="shared" si="24"/>
        <v/>
      </c>
      <c r="R566" s="65"/>
    </row>
    <row r="567" spans="2:18">
      <c r="B567" s="170" t="s">
        <v>1334</v>
      </c>
      <c r="C567" s="73"/>
      <c r="D567" s="73" t="s">
        <v>1335</v>
      </c>
      <c r="E567" s="73"/>
      <c r="N567" s="65" t="str">
        <f t="shared" si="24"/>
        <v/>
      </c>
      <c r="R567" s="65"/>
    </row>
    <row r="568" spans="2:18">
      <c r="B568" s="170" t="s">
        <v>1336</v>
      </c>
      <c r="C568" s="73"/>
      <c r="D568" s="73" t="s">
        <v>1337</v>
      </c>
      <c r="E568" s="73"/>
      <c r="N568" s="65" t="str">
        <f t="shared" si="24"/>
        <v/>
      </c>
      <c r="R568" s="65"/>
    </row>
    <row r="569" spans="2:18">
      <c r="B569" s="170" t="s">
        <v>1338</v>
      </c>
      <c r="C569" s="73"/>
      <c r="D569" s="73" t="s">
        <v>1339</v>
      </c>
      <c r="E569" s="73"/>
      <c r="N569" s="65" t="str">
        <f t="shared" si="24"/>
        <v/>
      </c>
      <c r="R569" s="65"/>
    </row>
    <row r="570" spans="2:18">
      <c r="B570" s="170" t="s">
        <v>1340</v>
      </c>
      <c r="C570" s="73"/>
      <c r="D570" s="73" t="s">
        <v>1341</v>
      </c>
      <c r="E570" s="73"/>
      <c r="N570" s="65" t="str">
        <f t="shared" si="24"/>
        <v/>
      </c>
      <c r="R570" s="65"/>
    </row>
    <row r="571" spans="2:18">
      <c r="B571" s="170" t="s">
        <v>1344</v>
      </c>
      <c r="C571" s="73"/>
      <c r="D571" s="73" t="s">
        <v>1345</v>
      </c>
      <c r="E571" s="73"/>
      <c r="N571" s="65" t="str">
        <f t="shared" si="24"/>
        <v/>
      </c>
      <c r="R571" s="65"/>
    </row>
    <row r="572" spans="2:18">
      <c r="B572" s="170" t="s">
        <v>1346</v>
      </c>
      <c r="C572" s="73"/>
      <c r="D572" s="73" t="s">
        <v>1347</v>
      </c>
      <c r="E572" s="73"/>
      <c r="N572" s="65" t="str">
        <f t="shared" si="24"/>
        <v/>
      </c>
      <c r="R572" s="65"/>
    </row>
    <row r="573" spans="2:18">
      <c r="B573" s="170" t="s">
        <v>1348</v>
      </c>
      <c r="C573" s="73"/>
      <c r="D573" s="73" t="s">
        <v>1349</v>
      </c>
      <c r="E573" s="73"/>
      <c r="N573" s="65" t="str">
        <f t="shared" si="24"/>
        <v/>
      </c>
      <c r="R573" s="65"/>
    </row>
    <row r="574" spans="2:18">
      <c r="B574" s="170" t="s">
        <v>1350</v>
      </c>
      <c r="C574" s="73"/>
      <c r="D574" s="73" t="s">
        <v>1351</v>
      </c>
      <c r="E574" s="73"/>
      <c r="N574" s="65" t="str">
        <f t="shared" si="24"/>
        <v/>
      </c>
      <c r="R574" s="65"/>
    </row>
    <row r="575" spans="2:18">
      <c r="B575" s="170" t="s">
        <v>1352</v>
      </c>
      <c r="C575" s="73"/>
      <c r="D575" s="73" t="s">
        <v>1353</v>
      </c>
      <c r="E575" s="73"/>
      <c r="N575" s="65" t="str">
        <f t="shared" si="24"/>
        <v/>
      </c>
      <c r="R575" s="65"/>
    </row>
    <row r="576" spans="2:18">
      <c r="B576" s="170" t="s">
        <v>1354</v>
      </c>
      <c r="C576" s="73"/>
      <c r="D576" s="73" t="s">
        <v>1355</v>
      </c>
      <c r="E576" s="73"/>
      <c r="N576" s="65" t="str">
        <f t="shared" si="24"/>
        <v/>
      </c>
      <c r="R576" s="65"/>
    </row>
    <row r="577" spans="2:18">
      <c r="B577" s="170" t="s">
        <v>1356</v>
      </c>
      <c r="C577" s="73"/>
      <c r="D577" s="73" t="s">
        <v>1357</v>
      </c>
      <c r="E577" s="73"/>
      <c r="N577" s="65" t="str">
        <f t="shared" si="24"/>
        <v/>
      </c>
      <c r="R577" s="65"/>
    </row>
    <row r="578" spans="2:18">
      <c r="B578" s="170" t="s">
        <v>1358</v>
      </c>
      <c r="C578" s="73"/>
      <c r="D578" s="73" t="s">
        <v>1359</v>
      </c>
      <c r="E578" s="73"/>
      <c r="N578" s="65" t="str">
        <f t="shared" si="24"/>
        <v/>
      </c>
      <c r="R578" s="65"/>
    </row>
    <row r="579" spans="2:18">
      <c r="B579" s="170" t="s">
        <v>1360</v>
      </c>
      <c r="C579" s="73"/>
      <c r="D579" s="73" t="s">
        <v>1361</v>
      </c>
      <c r="E579" s="73"/>
      <c r="N579" s="65" t="str">
        <f t="shared" ref="N579:N642" si="25">IF(ISERROR(FIND(" (include",P579)),"",RIGHT(P579,LEN(P579)-FIND(" (include",P579)))</f>
        <v/>
      </c>
      <c r="R579" s="65"/>
    </row>
    <row r="580" spans="2:18">
      <c r="B580" s="170" t="s">
        <v>1360</v>
      </c>
      <c r="C580" s="73"/>
      <c r="D580" s="73" t="s">
        <v>1361</v>
      </c>
      <c r="E580" s="73"/>
      <c r="N580" s="65" t="str">
        <f t="shared" si="25"/>
        <v/>
      </c>
      <c r="R580" s="65"/>
    </row>
    <row r="581" spans="2:18">
      <c r="B581" s="170" t="s">
        <v>1362</v>
      </c>
      <c r="C581" s="73"/>
      <c r="D581" s="73" t="s">
        <v>1363</v>
      </c>
      <c r="E581" s="73"/>
      <c r="N581" s="65" t="str">
        <f t="shared" si="25"/>
        <v/>
      </c>
      <c r="R581" s="65"/>
    </row>
    <row r="582" spans="2:18">
      <c r="B582" s="170" t="s">
        <v>1364</v>
      </c>
      <c r="C582" s="73"/>
      <c r="D582" s="73" t="s">
        <v>1365</v>
      </c>
      <c r="E582" s="73"/>
      <c r="N582" s="65" t="str">
        <f t="shared" si="25"/>
        <v/>
      </c>
      <c r="R582" s="65"/>
    </row>
    <row r="583" spans="2:18">
      <c r="B583" s="170" t="s">
        <v>1364</v>
      </c>
      <c r="C583" s="73"/>
      <c r="D583" s="73" t="s">
        <v>1365</v>
      </c>
      <c r="E583" s="73"/>
      <c r="N583" s="65" t="str">
        <f t="shared" si="25"/>
        <v/>
      </c>
      <c r="R583" s="65"/>
    </row>
    <row r="584" spans="2:18">
      <c r="B584" s="170" t="s">
        <v>1366</v>
      </c>
      <c r="C584" s="73"/>
      <c r="D584" s="73" t="s">
        <v>1367</v>
      </c>
      <c r="E584" s="73"/>
      <c r="N584" s="65" t="str">
        <f t="shared" si="25"/>
        <v/>
      </c>
      <c r="R584" s="65"/>
    </row>
    <row r="585" spans="2:18">
      <c r="B585" s="170" t="s">
        <v>409</v>
      </c>
      <c r="C585" s="73"/>
      <c r="D585" s="73" t="s">
        <v>410</v>
      </c>
      <c r="E585" s="73"/>
      <c r="N585" s="65" t="str">
        <f t="shared" si="25"/>
        <v/>
      </c>
      <c r="R585" s="65"/>
    </row>
    <row r="586" spans="2:18">
      <c r="B586" s="170" t="s">
        <v>1368</v>
      </c>
      <c r="C586" s="73"/>
      <c r="D586" s="73" t="s">
        <v>1369</v>
      </c>
      <c r="E586" s="73"/>
      <c r="N586" s="65" t="str">
        <f t="shared" si="25"/>
        <v/>
      </c>
      <c r="R586" s="65"/>
    </row>
    <row r="587" spans="2:18">
      <c r="B587" s="170" t="s">
        <v>1370</v>
      </c>
      <c r="C587" s="73"/>
      <c r="D587" s="73" t="s">
        <v>1371</v>
      </c>
      <c r="E587" s="73"/>
      <c r="N587" s="65" t="str">
        <f t="shared" si="25"/>
        <v/>
      </c>
      <c r="R587" s="65"/>
    </row>
    <row r="588" spans="2:18">
      <c r="B588" s="170" t="s">
        <v>1372</v>
      </c>
      <c r="C588" s="73"/>
      <c r="D588" s="73" t="s">
        <v>1373</v>
      </c>
      <c r="E588" s="73"/>
      <c r="N588" s="65" t="str">
        <f t="shared" si="25"/>
        <v/>
      </c>
      <c r="R588" s="65"/>
    </row>
    <row r="589" spans="2:18">
      <c r="B589" s="170" t="s">
        <v>1374</v>
      </c>
      <c r="C589" s="73"/>
      <c r="D589" s="73" t="s">
        <v>1375</v>
      </c>
      <c r="E589" s="73"/>
      <c r="N589" s="65" t="str">
        <f t="shared" si="25"/>
        <v/>
      </c>
      <c r="R589" s="65"/>
    </row>
    <row r="590" spans="2:18">
      <c r="B590" s="170" t="s">
        <v>1376</v>
      </c>
      <c r="C590" s="73"/>
      <c r="D590" s="73" t="s">
        <v>1377</v>
      </c>
      <c r="E590" s="73"/>
      <c r="N590" s="65" t="str">
        <f t="shared" si="25"/>
        <v/>
      </c>
      <c r="R590" s="65"/>
    </row>
    <row r="591" spans="2:18">
      <c r="B591" s="170" t="s">
        <v>1378</v>
      </c>
      <c r="C591" s="73"/>
      <c r="D591" s="73" t="s">
        <v>1379</v>
      </c>
      <c r="E591" s="73"/>
      <c r="N591" s="65" t="str">
        <f t="shared" si="25"/>
        <v/>
      </c>
      <c r="R591" s="65"/>
    </row>
    <row r="592" spans="2:18">
      <c r="B592" s="170" t="s">
        <v>1380</v>
      </c>
      <c r="C592" s="73"/>
      <c r="D592" s="73" t="s">
        <v>1381</v>
      </c>
      <c r="E592" s="73"/>
      <c r="N592" s="65" t="str">
        <f t="shared" si="25"/>
        <v/>
      </c>
      <c r="R592" s="65"/>
    </row>
    <row r="593" spans="2:18">
      <c r="B593" s="170" t="s">
        <v>1382</v>
      </c>
      <c r="C593" s="73"/>
      <c r="D593" s="73" t="s">
        <v>1383</v>
      </c>
      <c r="E593" s="73"/>
      <c r="N593" s="65" t="str">
        <f t="shared" si="25"/>
        <v/>
      </c>
      <c r="R593" s="65"/>
    </row>
    <row r="594" spans="2:18">
      <c r="B594" s="170" t="s">
        <v>1384</v>
      </c>
      <c r="C594" s="73"/>
      <c r="D594" s="73" t="s">
        <v>1385</v>
      </c>
      <c r="E594" s="73"/>
      <c r="N594" s="65" t="str">
        <f t="shared" si="25"/>
        <v/>
      </c>
      <c r="R594" s="65"/>
    </row>
    <row r="595" spans="2:18">
      <c r="B595" s="170" t="s">
        <v>1386</v>
      </c>
      <c r="C595" s="73"/>
      <c r="D595" s="73" t="s">
        <v>1387</v>
      </c>
      <c r="E595" s="73"/>
      <c r="N595" s="65" t="str">
        <f t="shared" si="25"/>
        <v/>
      </c>
      <c r="R595" s="65"/>
    </row>
    <row r="596" spans="2:18">
      <c r="B596" s="170" t="s">
        <v>1388</v>
      </c>
      <c r="C596" s="73"/>
      <c r="D596" s="73" t="s">
        <v>1389</v>
      </c>
      <c r="E596" s="73"/>
      <c r="N596" s="65" t="str">
        <f t="shared" si="25"/>
        <v/>
      </c>
      <c r="R596" s="65"/>
    </row>
    <row r="597" spans="2:18">
      <c r="B597" s="170" t="s">
        <v>1390</v>
      </c>
      <c r="C597" s="73"/>
      <c r="D597" s="73" t="s">
        <v>1391</v>
      </c>
      <c r="E597" s="73"/>
      <c r="N597" s="65" t="str">
        <f t="shared" si="25"/>
        <v/>
      </c>
      <c r="R597" s="65"/>
    </row>
    <row r="598" spans="2:18">
      <c r="B598" s="170" t="s">
        <v>1392</v>
      </c>
      <c r="C598" s="73"/>
      <c r="D598" s="73" t="s">
        <v>1393</v>
      </c>
      <c r="E598" s="73"/>
      <c r="N598" s="65" t="str">
        <f t="shared" si="25"/>
        <v/>
      </c>
      <c r="R598" s="65"/>
    </row>
    <row r="599" spans="2:18">
      <c r="B599" s="170" t="s">
        <v>1394</v>
      </c>
      <c r="C599" s="73"/>
      <c r="D599" s="73" t="s">
        <v>1395</v>
      </c>
      <c r="E599" s="73"/>
      <c r="N599" s="65" t="str">
        <f t="shared" si="25"/>
        <v/>
      </c>
      <c r="R599" s="65"/>
    </row>
    <row r="600" spans="2:18">
      <c r="B600" s="170" t="s">
        <v>1396</v>
      </c>
      <c r="C600" s="73"/>
      <c r="D600" s="73" t="s">
        <v>1397</v>
      </c>
      <c r="E600" s="73"/>
      <c r="N600" s="65" t="str">
        <f t="shared" si="25"/>
        <v/>
      </c>
      <c r="R600" s="65"/>
    </row>
    <row r="601" spans="2:18">
      <c r="B601" s="170" t="s">
        <v>1396</v>
      </c>
      <c r="C601" s="73"/>
      <c r="D601" s="73" t="s">
        <v>1397</v>
      </c>
      <c r="E601" s="73"/>
      <c r="N601" s="65" t="str">
        <f t="shared" si="25"/>
        <v/>
      </c>
      <c r="R601" s="65"/>
    </row>
    <row r="602" spans="2:18">
      <c r="B602" s="170" t="s">
        <v>1398</v>
      </c>
      <c r="C602" s="73"/>
      <c r="D602" s="73" t="s">
        <v>1399</v>
      </c>
      <c r="E602" s="73"/>
      <c r="N602" s="65" t="str">
        <f t="shared" si="25"/>
        <v/>
      </c>
      <c r="R602" s="65"/>
    </row>
    <row r="603" spans="2:18">
      <c r="B603" s="170" t="s">
        <v>1400</v>
      </c>
      <c r="C603" s="73"/>
      <c r="D603" s="73" t="s">
        <v>1401</v>
      </c>
      <c r="E603" s="73"/>
      <c r="N603" s="65" t="str">
        <f t="shared" si="25"/>
        <v/>
      </c>
      <c r="R603" s="65"/>
    </row>
    <row r="604" spans="2:18">
      <c r="B604" s="170" t="s">
        <v>1402</v>
      </c>
      <c r="C604" s="73"/>
      <c r="D604" s="73" t="s">
        <v>1403</v>
      </c>
      <c r="E604" s="73"/>
      <c r="N604" s="65" t="str">
        <f t="shared" si="25"/>
        <v/>
      </c>
      <c r="R604" s="65"/>
    </row>
    <row r="605" spans="2:18">
      <c r="B605" s="170" t="s">
        <v>1404</v>
      </c>
      <c r="C605" s="73"/>
      <c r="D605" s="73" t="s">
        <v>1405</v>
      </c>
      <c r="E605" s="73"/>
      <c r="N605" s="65" t="str">
        <f t="shared" si="25"/>
        <v/>
      </c>
      <c r="R605" s="65"/>
    </row>
    <row r="606" spans="2:18">
      <c r="B606" s="170" t="s">
        <v>1406</v>
      </c>
      <c r="C606" s="73"/>
      <c r="D606" s="73" t="s">
        <v>1407</v>
      </c>
      <c r="E606" s="73"/>
      <c r="N606" s="65" t="str">
        <f t="shared" si="25"/>
        <v/>
      </c>
      <c r="R606" s="65"/>
    </row>
    <row r="607" spans="2:18">
      <c r="B607" s="170" t="s">
        <v>1408</v>
      </c>
      <c r="C607" s="73"/>
      <c r="D607" s="73" t="s">
        <v>1409</v>
      </c>
      <c r="E607" s="73"/>
      <c r="N607" s="65" t="str">
        <f t="shared" si="25"/>
        <v/>
      </c>
      <c r="R607" s="65"/>
    </row>
    <row r="608" spans="2:18">
      <c r="B608" s="170" t="s">
        <v>1410</v>
      </c>
      <c r="C608" s="73"/>
      <c r="D608" s="73" t="s">
        <v>1411</v>
      </c>
      <c r="E608" s="73"/>
      <c r="N608" s="65" t="str">
        <f t="shared" si="25"/>
        <v/>
      </c>
      <c r="R608" s="65"/>
    </row>
    <row r="609" spans="2:18">
      <c r="B609" s="170" t="s">
        <v>1412</v>
      </c>
      <c r="C609" s="73"/>
      <c r="D609" s="73" t="s">
        <v>1413</v>
      </c>
      <c r="E609" s="73"/>
      <c r="N609" s="65" t="str">
        <f t="shared" si="25"/>
        <v/>
      </c>
      <c r="R609" s="65"/>
    </row>
    <row r="610" spans="2:18">
      <c r="B610" s="170" t="s">
        <v>1414</v>
      </c>
      <c r="C610" s="73"/>
      <c r="D610" s="73" t="s">
        <v>1415</v>
      </c>
      <c r="E610" s="73"/>
      <c r="N610" s="65" t="str">
        <f t="shared" si="25"/>
        <v/>
      </c>
      <c r="R610" s="65"/>
    </row>
    <row r="611" spans="2:18">
      <c r="B611" s="170" t="s">
        <v>1416</v>
      </c>
      <c r="C611" s="73"/>
      <c r="D611" s="73" t="s">
        <v>1417</v>
      </c>
      <c r="E611" s="73"/>
      <c r="N611" s="65" t="str">
        <f t="shared" si="25"/>
        <v/>
      </c>
      <c r="R611" s="65"/>
    </row>
    <row r="612" spans="2:18">
      <c r="B612" s="170" t="s">
        <v>1418</v>
      </c>
      <c r="C612" s="73"/>
      <c r="D612" s="73" t="s">
        <v>1419</v>
      </c>
      <c r="E612" s="73"/>
      <c r="N612" s="65" t="str">
        <f t="shared" si="25"/>
        <v/>
      </c>
      <c r="R612" s="65"/>
    </row>
    <row r="613" spans="2:18">
      <c r="B613" s="170" t="s">
        <v>1420</v>
      </c>
      <c r="C613" s="73"/>
      <c r="D613" s="73" t="s">
        <v>1421</v>
      </c>
      <c r="E613" s="73"/>
      <c r="N613" s="65" t="str">
        <f t="shared" si="25"/>
        <v/>
      </c>
      <c r="R613" s="65"/>
    </row>
    <row r="614" spans="2:18">
      <c r="B614" s="170" t="s">
        <v>1422</v>
      </c>
      <c r="C614" s="73"/>
      <c r="D614" s="73" t="s">
        <v>1423</v>
      </c>
      <c r="E614" s="73"/>
      <c r="N614" s="65" t="str">
        <f t="shared" si="25"/>
        <v/>
      </c>
      <c r="R614" s="65"/>
    </row>
    <row r="615" spans="2:18">
      <c r="B615" s="170" t="s">
        <v>1424</v>
      </c>
      <c r="C615" s="73"/>
      <c r="D615" s="73" t="s">
        <v>1425</v>
      </c>
      <c r="E615" s="73"/>
      <c r="N615" s="65" t="str">
        <f t="shared" si="25"/>
        <v/>
      </c>
      <c r="R615" s="65"/>
    </row>
    <row r="616" spans="2:18">
      <c r="B616" s="170" t="s">
        <v>1426</v>
      </c>
      <c r="C616" s="73"/>
      <c r="D616" s="73" t="s">
        <v>1427</v>
      </c>
      <c r="E616" s="73"/>
      <c r="N616" s="65" t="str">
        <f t="shared" si="25"/>
        <v/>
      </c>
      <c r="R616" s="65"/>
    </row>
    <row r="617" spans="2:18">
      <c r="B617" s="170" t="s">
        <v>1428</v>
      </c>
      <c r="C617" s="73"/>
      <c r="D617" s="73" t="s">
        <v>1427</v>
      </c>
      <c r="E617" s="73"/>
      <c r="N617" s="65" t="str">
        <f t="shared" si="25"/>
        <v/>
      </c>
      <c r="R617" s="65"/>
    </row>
    <row r="618" spans="2:18">
      <c r="B618" s="170" t="s">
        <v>1429</v>
      </c>
      <c r="C618" s="73"/>
      <c r="D618" s="73" t="s">
        <v>1430</v>
      </c>
      <c r="E618" s="73"/>
      <c r="N618" s="65" t="str">
        <f t="shared" si="25"/>
        <v/>
      </c>
      <c r="R618" s="65"/>
    </row>
    <row r="619" spans="2:18">
      <c r="B619" s="170" t="s">
        <v>1431</v>
      </c>
      <c r="C619" s="69"/>
      <c r="D619" s="70" t="s">
        <v>1432</v>
      </c>
      <c r="E619" s="73"/>
      <c r="N619" s="65" t="str">
        <f t="shared" si="25"/>
        <v/>
      </c>
      <c r="R619" s="65"/>
    </row>
    <row r="620" spans="2:18">
      <c r="B620" s="170" t="s">
        <v>1434</v>
      </c>
      <c r="C620" s="69"/>
      <c r="D620" s="70" t="s">
        <v>1435</v>
      </c>
      <c r="E620" s="73"/>
      <c r="N620" s="65" t="str">
        <f t="shared" si="25"/>
        <v/>
      </c>
      <c r="R620" s="65"/>
    </row>
    <row r="621" spans="2:18">
      <c r="B621" s="170" t="s">
        <v>1436</v>
      </c>
      <c r="C621" s="69"/>
      <c r="D621" s="70" t="s">
        <v>1437</v>
      </c>
      <c r="E621" s="73"/>
      <c r="N621" s="65" t="str">
        <f t="shared" si="25"/>
        <v/>
      </c>
      <c r="R621" s="65"/>
    </row>
    <row r="622" spans="2:18">
      <c r="B622" s="170" t="s">
        <v>1438</v>
      </c>
      <c r="C622" s="69"/>
      <c r="D622" s="70" t="s">
        <v>1439</v>
      </c>
      <c r="E622" s="73"/>
      <c r="N622" s="65" t="str">
        <f t="shared" si="25"/>
        <v/>
      </c>
      <c r="R622" s="65"/>
    </row>
    <row r="623" spans="2:18">
      <c r="B623" s="170" t="s">
        <v>1440</v>
      </c>
      <c r="C623" s="69"/>
      <c r="D623" s="70" t="s">
        <v>1441</v>
      </c>
      <c r="E623" s="73"/>
      <c r="N623" s="65" t="str">
        <f t="shared" si="25"/>
        <v/>
      </c>
      <c r="R623" s="65"/>
    </row>
    <row r="624" spans="2:18">
      <c r="B624" s="170" t="s">
        <v>1442</v>
      </c>
      <c r="C624" s="69"/>
      <c r="D624" s="70" t="s">
        <v>1443</v>
      </c>
      <c r="E624" s="73"/>
      <c r="N624" s="65" t="str">
        <f t="shared" si="25"/>
        <v/>
      </c>
      <c r="R624" s="65"/>
    </row>
    <row r="625" spans="2:18">
      <c r="B625" s="170" t="s">
        <v>1444</v>
      </c>
      <c r="C625" s="69"/>
      <c r="D625" s="70" t="s">
        <v>1445</v>
      </c>
      <c r="E625" s="73"/>
      <c r="N625" s="65" t="str">
        <f t="shared" si="25"/>
        <v/>
      </c>
      <c r="R625" s="65"/>
    </row>
    <row r="626" spans="2:18">
      <c r="B626" s="170" t="s">
        <v>1446</v>
      </c>
      <c r="C626" s="69"/>
      <c r="D626" s="70" t="s">
        <v>1447</v>
      </c>
      <c r="E626" s="73"/>
      <c r="N626" s="65" t="str">
        <f t="shared" si="25"/>
        <v/>
      </c>
      <c r="R626" s="65"/>
    </row>
    <row r="627" spans="2:18">
      <c r="B627" s="170" t="s">
        <v>1448</v>
      </c>
      <c r="C627" s="69"/>
      <c r="D627" s="70" t="s">
        <v>1449</v>
      </c>
      <c r="E627" s="73"/>
      <c r="N627" s="65" t="str">
        <f t="shared" si="25"/>
        <v/>
      </c>
      <c r="R627" s="65"/>
    </row>
    <row r="628" spans="2:18">
      <c r="B628" s="170" t="s">
        <v>1450</v>
      </c>
      <c r="C628" s="69"/>
      <c r="D628" s="70" t="s">
        <v>1451</v>
      </c>
      <c r="E628" s="73"/>
      <c r="N628" s="65" t="str">
        <f t="shared" si="25"/>
        <v/>
      </c>
      <c r="R628" s="65"/>
    </row>
    <row r="629" spans="2:18">
      <c r="B629" s="170" t="s">
        <v>1452</v>
      </c>
      <c r="C629" s="69"/>
      <c r="D629" s="70" t="s">
        <v>1453</v>
      </c>
      <c r="E629" s="73"/>
      <c r="N629" s="65" t="str">
        <f t="shared" si="25"/>
        <v/>
      </c>
      <c r="R629" s="65"/>
    </row>
    <row r="630" spans="2:18">
      <c r="B630" s="170" t="s">
        <v>1454</v>
      </c>
      <c r="C630" s="69"/>
      <c r="D630" s="70" t="s">
        <v>1455</v>
      </c>
      <c r="E630" s="73"/>
      <c r="N630" s="65" t="str">
        <f t="shared" si="25"/>
        <v/>
      </c>
      <c r="R630" s="65"/>
    </row>
    <row r="631" spans="2:18">
      <c r="B631" s="170" t="s">
        <v>1456</v>
      </c>
      <c r="C631" s="69"/>
      <c r="D631" s="70" t="s">
        <v>1457</v>
      </c>
      <c r="E631" s="73"/>
      <c r="N631" s="65" t="str">
        <f t="shared" si="25"/>
        <v/>
      </c>
      <c r="R631" s="65"/>
    </row>
    <row r="632" spans="2:18">
      <c r="B632" s="170" t="s">
        <v>1458</v>
      </c>
      <c r="C632" s="69"/>
      <c r="D632" s="70" t="s">
        <v>1459</v>
      </c>
      <c r="E632" s="73"/>
      <c r="N632" s="65" t="str">
        <f t="shared" si="25"/>
        <v/>
      </c>
      <c r="R632" s="65"/>
    </row>
    <row r="633" spans="2:18">
      <c r="B633" s="170" t="s">
        <v>1460</v>
      </c>
      <c r="C633" s="69"/>
      <c r="D633" s="70" t="s">
        <v>1461</v>
      </c>
      <c r="E633" s="73"/>
      <c r="N633" s="65" t="str">
        <f t="shared" si="25"/>
        <v/>
      </c>
      <c r="R633" s="65"/>
    </row>
    <row r="634" spans="2:18">
      <c r="B634" s="170" t="s">
        <v>1462</v>
      </c>
      <c r="C634" s="69"/>
      <c r="D634" s="70" t="s">
        <v>1463</v>
      </c>
      <c r="E634" s="73"/>
      <c r="N634" s="65" t="str">
        <f t="shared" si="25"/>
        <v/>
      </c>
      <c r="R634" s="65"/>
    </row>
    <row r="635" spans="2:18">
      <c r="B635" s="170" t="s">
        <v>1464</v>
      </c>
      <c r="C635" s="69"/>
      <c r="D635" s="70" t="s">
        <v>835</v>
      </c>
      <c r="E635" s="73"/>
      <c r="N635" s="65" t="str">
        <f t="shared" si="25"/>
        <v/>
      </c>
      <c r="R635" s="65"/>
    </row>
    <row r="636" spans="2:18">
      <c r="B636" s="170" t="s">
        <v>1465</v>
      </c>
      <c r="C636" s="69"/>
      <c r="D636" s="70" t="s">
        <v>1466</v>
      </c>
      <c r="E636" s="73"/>
      <c r="N636" s="65" t="str">
        <f t="shared" si="25"/>
        <v/>
      </c>
      <c r="R636" s="65"/>
    </row>
    <row r="637" spans="2:18">
      <c r="B637" s="170" t="s">
        <v>1467</v>
      </c>
      <c r="C637" s="69"/>
      <c r="D637" s="70" t="s">
        <v>1468</v>
      </c>
      <c r="E637" s="73"/>
      <c r="N637" s="65" t="str">
        <f t="shared" si="25"/>
        <v/>
      </c>
      <c r="R637" s="65"/>
    </row>
    <row r="638" spans="2:18">
      <c r="B638" s="170" t="s">
        <v>1469</v>
      </c>
      <c r="C638" s="69"/>
      <c r="D638" s="70" t="s">
        <v>1470</v>
      </c>
      <c r="E638" s="73"/>
      <c r="N638" s="65" t="str">
        <f t="shared" si="25"/>
        <v/>
      </c>
      <c r="R638" s="65"/>
    </row>
    <row r="639" spans="2:18">
      <c r="B639" s="170" t="s">
        <v>1471</v>
      </c>
      <c r="C639" s="69"/>
      <c r="D639" s="70" t="s">
        <v>1472</v>
      </c>
      <c r="E639" s="73"/>
      <c r="N639" s="65" t="str">
        <f t="shared" si="25"/>
        <v/>
      </c>
      <c r="R639" s="65"/>
    </row>
    <row r="640" spans="2:18">
      <c r="B640" s="170" t="s">
        <v>1473</v>
      </c>
      <c r="C640" s="69"/>
      <c r="D640" s="70" t="s">
        <v>1474</v>
      </c>
      <c r="E640" s="73"/>
      <c r="N640" s="65" t="str">
        <f t="shared" si="25"/>
        <v/>
      </c>
      <c r="R640" s="65"/>
    </row>
    <row r="641" spans="2:18">
      <c r="B641" s="170" t="s">
        <v>1475</v>
      </c>
      <c r="C641" s="69"/>
      <c r="D641" s="70" t="s">
        <v>1476</v>
      </c>
      <c r="E641" s="73"/>
      <c r="N641" s="65" t="str">
        <f t="shared" si="25"/>
        <v/>
      </c>
      <c r="R641" s="65"/>
    </row>
    <row r="642" spans="2:18">
      <c r="B642" s="170" t="s">
        <v>1477</v>
      </c>
      <c r="C642" s="69"/>
      <c r="D642" s="70" t="s">
        <v>1478</v>
      </c>
      <c r="E642" s="73"/>
      <c r="N642" s="65" t="str">
        <f t="shared" si="25"/>
        <v/>
      </c>
      <c r="R642" s="65"/>
    </row>
    <row r="643" spans="2:18">
      <c r="B643" s="170" t="s">
        <v>1479</v>
      </c>
      <c r="C643" s="69"/>
      <c r="D643" s="70" t="s">
        <v>1480</v>
      </c>
      <c r="E643" s="73"/>
      <c r="N643" s="65" t="str">
        <f t="shared" ref="N643:N706" si="26">IF(ISERROR(FIND(" (include",P643)),"",RIGHT(P643,LEN(P643)-FIND(" (include",P643)))</f>
        <v/>
      </c>
      <c r="R643" s="65"/>
    </row>
    <row r="644" spans="2:18">
      <c r="B644" s="170" t="s">
        <v>1481</v>
      </c>
      <c r="C644" s="69"/>
      <c r="D644" s="70" t="s">
        <v>1482</v>
      </c>
      <c r="E644" s="73"/>
      <c r="N644" s="65" t="str">
        <f t="shared" si="26"/>
        <v/>
      </c>
      <c r="R644" s="65"/>
    </row>
    <row r="645" spans="2:18">
      <c r="B645" s="170" t="s">
        <v>1483</v>
      </c>
      <c r="C645" s="69"/>
      <c r="D645" s="70" t="s">
        <v>1292</v>
      </c>
      <c r="E645" s="73"/>
      <c r="N645" s="65" t="str">
        <f t="shared" si="26"/>
        <v/>
      </c>
      <c r="R645" s="65"/>
    </row>
    <row r="646" spans="2:18">
      <c r="B646" s="170" t="s">
        <v>1484</v>
      </c>
      <c r="C646" s="69"/>
      <c r="D646" s="70" t="s">
        <v>1485</v>
      </c>
      <c r="E646" s="73"/>
      <c r="N646" s="65" t="str">
        <f t="shared" si="26"/>
        <v/>
      </c>
      <c r="R646" s="65"/>
    </row>
    <row r="647" spans="2:18">
      <c r="B647" s="170" t="s">
        <v>1486</v>
      </c>
      <c r="C647" s="69"/>
      <c r="D647" s="70" t="s">
        <v>1487</v>
      </c>
      <c r="E647" s="73"/>
      <c r="N647" s="65" t="str">
        <f t="shared" si="26"/>
        <v/>
      </c>
      <c r="R647" s="65"/>
    </row>
    <row r="648" spans="2:18">
      <c r="B648" s="170" t="s">
        <v>1488</v>
      </c>
      <c r="C648" s="69"/>
      <c r="D648" s="70" t="s">
        <v>1489</v>
      </c>
      <c r="E648" s="73"/>
      <c r="N648" s="65" t="str">
        <f t="shared" si="26"/>
        <v/>
      </c>
      <c r="R648" s="65"/>
    </row>
    <row r="649" spans="2:18">
      <c r="B649" s="170" t="s">
        <v>1490</v>
      </c>
      <c r="C649" s="69"/>
      <c r="D649" s="70" t="s">
        <v>1491</v>
      </c>
      <c r="E649" s="73"/>
      <c r="N649" s="65" t="str">
        <f t="shared" si="26"/>
        <v/>
      </c>
      <c r="R649" s="65"/>
    </row>
    <row r="650" spans="2:18">
      <c r="B650" s="170" t="s">
        <v>1492</v>
      </c>
      <c r="C650" s="69"/>
      <c r="D650" s="70" t="s">
        <v>1493</v>
      </c>
      <c r="E650" s="73"/>
      <c r="N650" s="65" t="str">
        <f t="shared" si="26"/>
        <v/>
      </c>
      <c r="R650" s="65"/>
    </row>
    <row r="651" spans="2:18">
      <c r="B651" s="170" t="s">
        <v>1494</v>
      </c>
      <c r="C651" s="69"/>
      <c r="D651" s="70" t="s">
        <v>1495</v>
      </c>
      <c r="E651" s="73"/>
      <c r="N651" s="65" t="str">
        <f t="shared" si="26"/>
        <v/>
      </c>
      <c r="R651" s="65"/>
    </row>
    <row r="652" spans="2:18">
      <c r="B652" s="170" t="s">
        <v>1496</v>
      </c>
      <c r="C652" s="69"/>
      <c r="D652" s="70" t="s">
        <v>1497</v>
      </c>
      <c r="E652" s="73"/>
      <c r="N652" s="65" t="str">
        <f t="shared" si="26"/>
        <v/>
      </c>
      <c r="R652" s="65"/>
    </row>
    <row r="653" spans="2:18">
      <c r="B653" s="90" t="s">
        <v>1498</v>
      </c>
      <c r="C653" s="69"/>
      <c r="D653" s="70" t="s">
        <v>1499</v>
      </c>
      <c r="E653" s="73"/>
      <c r="N653" s="65" t="str">
        <f t="shared" si="26"/>
        <v/>
      </c>
      <c r="R653" s="65"/>
    </row>
    <row r="654" spans="2:18">
      <c r="B654" s="170" t="s">
        <v>1500</v>
      </c>
      <c r="C654" s="69"/>
      <c r="D654" s="70" t="s">
        <v>1501</v>
      </c>
      <c r="E654" s="73"/>
      <c r="N654" s="65" t="str">
        <f t="shared" si="26"/>
        <v/>
      </c>
      <c r="R654" s="65"/>
    </row>
    <row r="655" spans="2:18">
      <c r="B655" s="170" t="s">
        <v>1502</v>
      </c>
      <c r="C655" s="69"/>
      <c r="D655" s="70" t="s">
        <v>1503</v>
      </c>
      <c r="E655" s="73"/>
      <c r="N655" s="65" t="str">
        <f t="shared" si="26"/>
        <v/>
      </c>
      <c r="R655" s="65"/>
    </row>
    <row r="656" spans="2:18">
      <c r="B656" s="170" t="s">
        <v>1504</v>
      </c>
      <c r="C656" s="69"/>
      <c r="D656" s="70" t="s">
        <v>1505</v>
      </c>
      <c r="E656" s="73"/>
      <c r="N656" s="65" t="str">
        <f t="shared" si="26"/>
        <v/>
      </c>
      <c r="R656" s="65"/>
    </row>
    <row r="657" spans="2:18" ht="25.5">
      <c r="B657" s="170" t="s">
        <v>1506</v>
      </c>
      <c r="C657" s="69"/>
      <c r="D657" s="70" t="s">
        <v>1507</v>
      </c>
      <c r="E657" s="73"/>
      <c r="N657" s="65" t="str">
        <f t="shared" si="26"/>
        <v/>
      </c>
      <c r="R657" s="65"/>
    </row>
    <row r="658" spans="2:18" ht="25.5">
      <c r="B658" s="170" t="s">
        <v>1508</v>
      </c>
      <c r="C658" s="69"/>
      <c r="D658" s="70" t="s">
        <v>1509</v>
      </c>
      <c r="E658" s="73"/>
      <c r="N658" s="65" t="str">
        <f t="shared" si="26"/>
        <v/>
      </c>
      <c r="R658" s="65"/>
    </row>
    <row r="659" spans="2:18" ht="25.5">
      <c r="B659" s="170" t="s">
        <v>1510</v>
      </c>
      <c r="C659" s="69"/>
      <c r="D659" s="70" t="s">
        <v>1511</v>
      </c>
      <c r="E659" s="73"/>
      <c r="N659" s="65" t="str">
        <f t="shared" si="26"/>
        <v/>
      </c>
      <c r="R659" s="65"/>
    </row>
    <row r="660" spans="2:18" ht="25.5">
      <c r="B660" s="170" t="s">
        <v>1512</v>
      </c>
      <c r="C660" s="69"/>
      <c r="D660" s="70" t="s">
        <v>1513</v>
      </c>
      <c r="E660" s="73"/>
      <c r="N660" s="65" t="str">
        <f t="shared" si="26"/>
        <v/>
      </c>
      <c r="R660" s="65"/>
    </row>
    <row r="661" spans="2:18">
      <c r="B661" s="90" t="s">
        <v>1514</v>
      </c>
      <c r="C661" s="69"/>
      <c r="D661" s="70" t="s">
        <v>1515</v>
      </c>
      <c r="E661" s="73"/>
      <c r="N661" s="65" t="str">
        <f t="shared" si="26"/>
        <v/>
      </c>
      <c r="R661" s="65"/>
    </row>
    <row r="662" spans="2:18">
      <c r="B662" s="170" t="s">
        <v>1516</v>
      </c>
      <c r="C662" s="69"/>
      <c r="D662" s="70" t="s">
        <v>1517</v>
      </c>
      <c r="E662" s="73"/>
      <c r="N662" s="65" t="str">
        <f t="shared" si="26"/>
        <v/>
      </c>
      <c r="R662" s="65"/>
    </row>
    <row r="663" spans="2:18">
      <c r="B663" s="170" t="s">
        <v>1518</v>
      </c>
      <c r="C663" s="69"/>
      <c r="D663" s="70" t="s">
        <v>1519</v>
      </c>
      <c r="E663" s="73"/>
      <c r="N663" s="65" t="str">
        <f t="shared" si="26"/>
        <v/>
      </c>
      <c r="R663" s="65"/>
    </row>
    <row r="664" spans="2:18">
      <c r="B664" s="170" t="s">
        <v>1520</v>
      </c>
      <c r="C664" s="69"/>
      <c r="D664" s="70" t="s">
        <v>1521</v>
      </c>
      <c r="E664" s="73"/>
      <c r="N664" s="65" t="str">
        <f t="shared" si="26"/>
        <v/>
      </c>
      <c r="R664" s="65"/>
    </row>
    <row r="665" spans="2:18">
      <c r="B665" s="170" t="s">
        <v>1522</v>
      </c>
      <c r="C665" s="69"/>
      <c r="D665" s="70" t="s">
        <v>1523</v>
      </c>
      <c r="E665" s="73"/>
      <c r="N665" s="65" t="str">
        <f t="shared" si="26"/>
        <v/>
      </c>
      <c r="R665" s="65"/>
    </row>
    <row r="666" spans="2:18">
      <c r="B666" s="170" t="s">
        <v>1524</v>
      </c>
      <c r="C666" s="69"/>
      <c r="D666" s="70" t="s">
        <v>1525</v>
      </c>
      <c r="E666" s="73"/>
      <c r="N666" s="65" t="str">
        <f t="shared" si="26"/>
        <v/>
      </c>
      <c r="R666" s="65"/>
    </row>
    <row r="667" spans="2:18">
      <c r="B667" s="170" t="s">
        <v>1526</v>
      </c>
      <c r="C667" s="69"/>
      <c r="D667" s="70" t="s">
        <v>1527</v>
      </c>
      <c r="E667" s="73"/>
      <c r="N667" s="65" t="str">
        <f t="shared" si="26"/>
        <v/>
      </c>
      <c r="R667" s="65"/>
    </row>
    <row r="668" spans="2:18">
      <c r="B668" s="170" t="s">
        <v>1528</v>
      </c>
      <c r="C668" s="69"/>
      <c r="D668" s="70" t="s">
        <v>1529</v>
      </c>
      <c r="E668" s="73"/>
      <c r="N668" s="65" t="str">
        <f t="shared" si="26"/>
        <v/>
      </c>
      <c r="R668" s="65"/>
    </row>
    <row r="669" spans="2:18">
      <c r="B669" s="170" t="s">
        <v>1530</v>
      </c>
      <c r="C669" s="69"/>
      <c r="D669" s="70" t="s">
        <v>1531</v>
      </c>
      <c r="E669" s="73"/>
      <c r="N669" s="65" t="str">
        <f t="shared" si="26"/>
        <v/>
      </c>
      <c r="R669" s="65"/>
    </row>
    <row r="670" spans="2:18">
      <c r="B670" s="170" t="s">
        <v>1532</v>
      </c>
      <c r="C670" s="69"/>
      <c r="D670" s="70" t="s">
        <v>1533</v>
      </c>
      <c r="E670" s="73"/>
      <c r="N670" s="65" t="str">
        <f t="shared" si="26"/>
        <v/>
      </c>
      <c r="R670" s="65"/>
    </row>
    <row r="671" spans="2:18">
      <c r="B671" s="170" t="s">
        <v>1534</v>
      </c>
      <c r="C671" s="70"/>
      <c r="D671" s="70" t="s">
        <v>1535</v>
      </c>
      <c r="E671" s="73"/>
      <c r="N671" s="65" t="str">
        <f t="shared" si="26"/>
        <v/>
      </c>
      <c r="R671" s="65"/>
    </row>
    <row r="672" spans="2:18">
      <c r="B672" s="170" t="s">
        <v>1536</v>
      </c>
      <c r="C672" s="69"/>
      <c r="D672" s="70" t="s">
        <v>1537</v>
      </c>
      <c r="E672" s="73"/>
      <c r="N672" s="65" t="str">
        <f t="shared" si="26"/>
        <v/>
      </c>
      <c r="R672" s="65"/>
    </row>
    <row r="673" spans="2:18">
      <c r="B673" s="170" t="s">
        <v>1538</v>
      </c>
      <c r="C673" s="69"/>
      <c r="D673" s="70" t="s">
        <v>1539</v>
      </c>
      <c r="E673" s="73"/>
      <c r="N673" s="65" t="str">
        <f t="shared" si="26"/>
        <v/>
      </c>
      <c r="R673" s="65"/>
    </row>
    <row r="674" spans="2:18">
      <c r="B674" s="170" t="s">
        <v>1540</v>
      </c>
      <c r="C674" s="69"/>
      <c r="D674" s="70" t="s">
        <v>1541</v>
      </c>
      <c r="E674" s="73"/>
      <c r="N674" s="65" t="str">
        <f t="shared" si="26"/>
        <v/>
      </c>
      <c r="R674" s="65"/>
    </row>
    <row r="675" spans="2:18">
      <c r="B675" s="170" t="s">
        <v>1542</v>
      </c>
      <c r="C675" s="69"/>
      <c r="D675" s="70" t="s">
        <v>1543</v>
      </c>
      <c r="E675" s="73"/>
      <c r="N675" s="65" t="str">
        <f t="shared" si="26"/>
        <v/>
      </c>
      <c r="R675" s="65"/>
    </row>
    <row r="676" spans="2:18">
      <c r="B676" s="170" t="s">
        <v>1544</v>
      </c>
      <c r="C676" s="69"/>
      <c r="D676" s="70" t="s">
        <v>1545</v>
      </c>
      <c r="E676" s="73"/>
      <c r="N676" s="65" t="str">
        <f t="shared" si="26"/>
        <v/>
      </c>
      <c r="R676" s="65"/>
    </row>
    <row r="677" spans="2:18">
      <c r="B677" s="170" t="s">
        <v>1546</v>
      </c>
      <c r="C677" s="69"/>
      <c r="D677" s="70" t="s">
        <v>1547</v>
      </c>
      <c r="E677" s="73"/>
      <c r="N677" s="65" t="str">
        <f t="shared" si="26"/>
        <v/>
      </c>
      <c r="R677" s="65"/>
    </row>
    <row r="678" spans="2:18">
      <c r="B678" s="170" t="s">
        <v>1548</v>
      </c>
      <c r="C678" s="69"/>
      <c r="D678" s="70" t="s">
        <v>1549</v>
      </c>
      <c r="E678" s="73"/>
      <c r="N678" s="65" t="str">
        <f t="shared" si="26"/>
        <v/>
      </c>
      <c r="R678" s="65"/>
    </row>
    <row r="679" spans="2:18">
      <c r="B679" s="170" t="s">
        <v>1550</v>
      </c>
      <c r="C679" s="69"/>
      <c r="D679" s="70" t="s">
        <v>1551</v>
      </c>
      <c r="E679" s="73"/>
      <c r="N679" s="65" t="str">
        <f t="shared" si="26"/>
        <v/>
      </c>
      <c r="R679" s="65"/>
    </row>
    <row r="680" spans="2:18">
      <c r="B680" s="170" t="s">
        <v>1552</v>
      </c>
      <c r="C680" s="69"/>
      <c r="D680" s="70" t="s">
        <v>1553</v>
      </c>
      <c r="E680" s="73"/>
      <c r="N680" s="65" t="str">
        <f t="shared" si="26"/>
        <v/>
      </c>
      <c r="R680" s="65"/>
    </row>
    <row r="681" spans="2:18">
      <c r="B681" s="170" t="s">
        <v>1554</v>
      </c>
      <c r="C681" s="69"/>
      <c r="D681" s="70" t="s">
        <v>1555</v>
      </c>
      <c r="E681" s="73"/>
      <c r="N681" s="65" t="str">
        <f t="shared" si="26"/>
        <v/>
      </c>
      <c r="R681" s="65"/>
    </row>
    <row r="682" spans="2:18" ht="25.5">
      <c r="B682" s="170" t="s">
        <v>1556</v>
      </c>
      <c r="C682" s="69"/>
      <c r="D682" s="70" t="s">
        <v>1557</v>
      </c>
      <c r="E682" s="73"/>
      <c r="N682" s="65" t="str">
        <f t="shared" si="26"/>
        <v/>
      </c>
      <c r="R682" s="65"/>
    </row>
    <row r="683" spans="2:18" ht="25.5">
      <c r="B683" s="170" t="s">
        <v>1558</v>
      </c>
      <c r="C683" s="69"/>
      <c r="D683" s="70" t="s">
        <v>1559</v>
      </c>
      <c r="E683" s="73"/>
      <c r="N683" s="65" t="str">
        <f t="shared" si="26"/>
        <v/>
      </c>
      <c r="R683" s="65"/>
    </row>
    <row r="684" spans="2:18" ht="25.5">
      <c r="B684" s="170" t="s">
        <v>1560</v>
      </c>
      <c r="C684" s="69"/>
      <c r="D684" s="70" t="s">
        <v>1561</v>
      </c>
      <c r="E684" s="73"/>
      <c r="N684" s="65" t="str">
        <f t="shared" si="26"/>
        <v/>
      </c>
      <c r="R684" s="65"/>
    </row>
    <row r="685" spans="2:18">
      <c r="B685" s="170" t="s">
        <v>1562</v>
      </c>
      <c r="C685" s="69"/>
      <c r="D685" s="70" t="s">
        <v>1563</v>
      </c>
      <c r="E685" s="73"/>
      <c r="N685" s="65" t="str">
        <f t="shared" si="26"/>
        <v/>
      </c>
      <c r="R685" s="65"/>
    </row>
    <row r="686" spans="2:18">
      <c r="B686" s="170" t="s">
        <v>1564</v>
      </c>
      <c r="C686" s="69"/>
      <c r="D686" s="70" t="s">
        <v>1565</v>
      </c>
      <c r="E686" s="73"/>
      <c r="N686" s="65" t="str">
        <f t="shared" si="26"/>
        <v/>
      </c>
      <c r="R686" s="65"/>
    </row>
    <row r="687" spans="2:18">
      <c r="B687" s="170" t="s">
        <v>253</v>
      </c>
      <c r="C687" s="69"/>
      <c r="D687" s="70" t="s">
        <v>1568</v>
      </c>
      <c r="E687" s="73"/>
      <c r="N687" s="65" t="str">
        <f t="shared" si="26"/>
        <v/>
      </c>
      <c r="R687" s="65"/>
    </row>
    <row r="688" spans="2:18">
      <c r="B688" s="170" t="s">
        <v>259</v>
      </c>
      <c r="C688" s="69"/>
      <c r="D688" s="70" t="s">
        <v>1569</v>
      </c>
      <c r="E688" s="73"/>
      <c r="N688" s="65" t="str">
        <f t="shared" si="26"/>
        <v/>
      </c>
      <c r="R688" s="65"/>
    </row>
    <row r="689" spans="2:18">
      <c r="B689" s="170" t="s">
        <v>13</v>
      </c>
      <c r="C689" s="69"/>
      <c r="D689" s="70" t="s">
        <v>1570</v>
      </c>
      <c r="E689" s="73"/>
      <c r="N689" s="65" t="str">
        <f t="shared" si="26"/>
        <v/>
      </c>
      <c r="R689" s="65"/>
    </row>
    <row r="690" spans="2:18">
      <c r="B690" s="170" t="s">
        <v>88</v>
      </c>
      <c r="C690" s="69"/>
      <c r="D690" s="70" t="s">
        <v>1571</v>
      </c>
      <c r="E690" s="73"/>
      <c r="N690" s="65" t="str">
        <f t="shared" si="26"/>
        <v/>
      </c>
      <c r="R690" s="65"/>
    </row>
    <row r="691" spans="2:18">
      <c r="B691" s="170" t="s">
        <v>89</v>
      </c>
      <c r="C691" s="69"/>
      <c r="D691" s="70" t="s">
        <v>1572</v>
      </c>
      <c r="E691" s="73"/>
      <c r="N691" s="65" t="str">
        <f t="shared" si="26"/>
        <v/>
      </c>
      <c r="R691" s="65"/>
    </row>
    <row r="692" spans="2:18">
      <c r="B692" s="170" t="s">
        <v>90</v>
      </c>
      <c r="C692" s="69"/>
      <c r="D692" s="70" t="s">
        <v>1573</v>
      </c>
      <c r="E692" s="73"/>
      <c r="N692" s="65" t="str">
        <f t="shared" si="26"/>
        <v/>
      </c>
      <c r="R692" s="65"/>
    </row>
    <row r="693" spans="2:18" ht="25.5">
      <c r="B693" s="170" t="s">
        <v>285</v>
      </c>
      <c r="C693" s="69"/>
      <c r="D693" s="70" t="s">
        <v>1574</v>
      </c>
      <c r="E693" s="73"/>
      <c r="N693" s="65" t="str">
        <f t="shared" si="26"/>
        <v/>
      </c>
      <c r="R693" s="65"/>
    </row>
    <row r="694" spans="2:18">
      <c r="B694" s="170" t="s">
        <v>1575</v>
      </c>
      <c r="C694" s="69"/>
      <c r="D694" s="70" t="s">
        <v>1576</v>
      </c>
      <c r="E694" s="73"/>
      <c r="N694" s="65" t="str">
        <f t="shared" si="26"/>
        <v/>
      </c>
      <c r="R694" s="65"/>
    </row>
    <row r="695" spans="2:18" ht="25.5">
      <c r="B695" s="170" t="s">
        <v>297</v>
      </c>
      <c r="C695" s="69"/>
      <c r="D695" s="70" t="s">
        <v>1577</v>
      </c>
      <c r="E695" s="73"/>
      <c r="N695" s="65" t="str">
        <f t="shared" si="26"/>
        <v/>
      </c>
      <c r="R695" s="65"/>
    </row>
    <row r="696" spans="2:18" ht="25.5">
      <c r="B696" s="170" t="s">
        <v>303</v>
      </c>
      <c r="C696" s="69"/>
      <c r="D696" s="70" t="s">
        <v>1578</v>
      </c>
      <c r="E696" s="73"/>
      <c r="N696" s="65" t="str">
        <f t="shared" si="26"/>
        <v/>
      </c>
      <c r="R696" s="65"/>
    </row>
    <row r="697" spans="2:18">
      <c r="B697" s="170" t="s">
        <v>315</v>
      </c>
      <c r="C697" s="69"/>
      <c r="D697" s="70" t="s">
        <v>1580</v>
      </c>
      <c r="E697" s="73"/>
      <c r="N697" s="65" t="str">
        <f t="shared" si="26"/>
        <v/>
      </c>
      <c r="R697" s="65"/>
    </row>
    <row r="698" spans="2:18">
      <c r="B698" s="170" t="s">
        <v>321</v>
      </c>
      <c r="C698" s="69"/>
      <c r="D698" s="70" t="s">
        <v>1581</v>
      </c>
      <c r="E698" s="73"/>
      <c r="N698" s="65" t="str">
        <f t="shared" si="26"/>
        <v/>
      </c>
      <c r="R698" s="65"/>
    </row>
    <row r="699" spans="2:18">
      <c r="B699" s="170" t="s">
        <v>349</v>
      </c>
      <c r="C699" s="69"/>
      <c r="D699" s="70" t="s">
        <v>1585</v>
      </c>
      <c r="E699" s="73"/>
      <c r="N699" s="65" t="str">
        <f t="shared" si="26"/>
        <v/>
      </c>
      <c r="R699" s="65"/>
    </row>
    <row r="700" spans="2:18">
      <c r="B700" s="170" t="s">
        <v>353</v>
      </c>
      <c r="C700" s="69"/>
      <c r="D700" s="70" t="s">
        <v>1586</v>
      </c>
      <c r="E700" s="73"/>
      <c r="N700" s="65" t="str">
        <f t="shared" si="26"/>
        <v/>
      </c>
      <c r="R700" s="65"/>
    </row>
    <row r="701" spans="2:18">
      <c r="B701" s="170" t="s">
        <v>363</v>
      </c>
      <c r="C701" s="69"/>
      <c r="D701" s="70" t="s">
        <v>1587</v>
      </c>
      <c r="E701" s="73"/>
      <c r="N701" s="65" t="str">
        <f t="shared" si="26"/>
        <v/>
      </c>
      <c r="R701" s="65"/>
    </row>
    <row r="702" spans="2:18">
      <c r="B702" s="170" t="s">
        <v>368</v>
      </c>
      <c r="C702" s="69"/>
      <c r="D702" s="70" t="s">
        <v>1588</v>
      </c>
      <c r="E702" s="73"/>
      <c r="N702" s="65" t="str">
        <f t="shared" si="26"/>
        <v/>
      </c>
      <c r="R702" s="65"/>
    </row>
    <row r="703" spans="2:18">
      <c r="B703" s="170" t="s">
        <v>408</v>
      </c>
      <c r="C703" s="69"/>
      <c r="D703" s="70" t="s">
        <v>1589</v>
      </c>
      <c r="E703" s="73"/>
      <c r="N703" s="65" t="str">
        <f t="shared" si="26"/>
        <v/>
      </c>
      <c r="R703" s="65"/>
    </row>
    <row r="704" spans="2:18">
      <c r="B704" s="170" t="s">
        <v>413</v>
      </c>
      <c r="C704" s="69"/>
      <c r="D704" s="70" t="s">
        <v>1590</v>
      </c>
      <c r="E704" s="73"/>
      <c r="N704" s="65" t="str">
        <f t="shared" si="26"/>
        <v/>
      </c>
      <c r="R704" s="65"/>
    </row>
    <row r="705" spans="2:18">
      <c r="B705" s="170" t="s">
        <v>418</v>
      </c>
      <c r="C705" s="69"/>
      <c r="D705" s="70" t="s">
        <v>1591</v>
      </c>
      <c r="E705" s="73"/>
      <c r="N705" s="65" t="str">
        <f t="shared" si="26"/>
        <v/>
      </c>
      <c r="R705" s="65"/>
    </row>
    <row r="706" spans="2:18">
      <c r="B706" s="170" t="s">
        <v>422</v>
      </c>
      <c r="C706" s="69"/>
      <c r="D706" s="70" t="s">
        <v>1592</v>
      </c>
      <c r="E706" s="73"/>
      <c r="N706" s="65" t="str">
        <f t="shared" si="26"/>
        <v/>
      </c>
      <c r="R706" s="65"/>
    </row>
    <row r="707" spans="2:18">
      <c r="B707" s="170" t="s">
        <v>426</v>
      </c>
      <c r="C707" s="69"/>
      <c r="D707" s="70" t="s">
        <v>1593</v>
      </c>
      <c r="E707" s="73"/>
      <c r="N707" s="65" t="str">
        <f t="shared" ref="N707:N770" si="27">IF(ISERROR(FIND(" (include",P707)),"",RIGHT(P707,LEN(P707)-FIND(" (include",P707)))</f>
        <v/>
      </c>
      <c r="R707" s="65"/>
    </row>
    <row r="708" spans="2:18">
      <c r="B708" s="170" t="s">
        <v>442</v>
      </c>
      <c r="C708" s="69"/>
      <c r="D708" s="70" t="s">
        <v>1594</v>
      </c>
      <c r="E708" s="73"/>
      <c r="N708" s="65" t="str">
        <f t="shared" si="27"/>
        <v/>
      </c>
      <c r="R708" s="65"/>
    </row>
    <row r="709" spans="2:18">
      <c r="B709" s="170" t="s">
        <v>447</v>
      </c>
      <c r="C709" s="69"/>
      <c r="D709" s="70" t="s">
        <v>1595</v>
      </c>
      <c r="E709" s="73"/>
      <c r="N709" s="65" t="str">
        <f t="shared" si="27"/>
        <v/>
      </c>
      <c r="R709" s="65"/>
    </row>
    <row r="710" spans="2:18">
      <c r="B710" s="170" t="s">
        <v>451</v>
      </c>
      <c r="C710" s="69"/>
      <c r="D710" s="70" t="s">
        <v>1596</v>
      </c>
      <c r="E710" s="73"/>
      <c r="N710" s="65" t="str">
        <f t="shared" si="27"/>
        <v/>
      </c>
      <c r="R710" s="65"/>
    </row>
    <row r="711" spans="2:18">
      <c r="B711" s="170" t="s">
        <v>456</v>
      </c>
      <c r="C711" s="70"/>
      <c r="D711" s="70" t="s">
        <v>1597</v>
      </c>
      <c r="E711" s="73"/>
      <c r="N711" s="65" t="str">
        <f t="shared" si="27"/>
        <v/>
      </c>
      <c r="R711" s="65"/>
    </row>
    <row r="712" spans="2:18">
      <c r="B712" s="170" t="s">
        <v>477</v>
      </c>
      <c r="C712" s="69"/>
      <c r="D712" s="70" t="s">
        <v>1598</v>
      </c>
      <c r="E712" s="73"/>
      <c r="N712" s="65" t="str">
        <f t="shared" si="27"/>
        <v/>
      </c>
      <c r="R712" s="65"/>
    </row>
    <row r="713" spans="2:18">
      <c r="B713" s="170" t="s">
        <v>481</v>
      </c>
      <c r="C713" s="69"/>
      <c r="D713" s="70" t="s">
        <v>1599</v>
      </c>
      <c r="E713" s="73"/>
      <c r="N713" s="65" t="str">
        <f t="shared" si="27"/>
        <v/>
      </c>
      <c r="R713" s="65"/>
    </row>
    <row r="714" spans="2:18">
      <c r="B714" s="170" t="s">
        <v>484</v>
      </c>
      <c r="C714" s="69"/>
      <c r="D714" s="70" t="s">
        <v>1600</v>
      </c>
      <c r="E714" s="73"/>
      <c r="N714" s="65" t="str">
        <f t="shared" si="27"/>
        <v/>
      </c>
      <c r="R714" s="65"/>
    </row>
    <row r="715" spans="2:18">
      <c r="B715" s="170" t="s">
        <v>489</v>
      </c>
      <c r="C715" s="69"/>
      <c r="D715" s="70" t="s">
        <v>1601</v>
      </c>
      <c r="E715" s="73"/>
      <c r="N715" s="65" t="str">
        <f t="shared" si="27"/>
        <v/>
      </c>
      <c r="R715" s="65"/>
    </row>
    <row r="716" spans="2:18">
      <c r="B716" s="170" t="s">
        <v>492</v>
      </c>
      <c r="C716" s="69"/>
      <c r="D716" s="70" t="s">
        <v>1602</v>
      </c>
      <c r="E716" s="73"/>
      <c r="N716" s="65" t="str">
        <f t="shared" si="27"/>
        <v/>
      </c>
      <c r="R716" s="65"/>
    </row>
    <row r="717" spans="2:18">
      <c r="B717" s="170" t="s">
        <v>496</v>
      </c>
      <c r="C717" s="70"/>
      <c r="D717" s="70" t="s">
        <v>1603</v>
      </c>
      <c r="E717" s="73"/>
      <c r="N717" s="65" t="str">
        <f t="shared" si="27"/>
        <v/>
      </c>
      <c r="R717" s="65"/>
    </row>
    <row r="718" spans="2:18">
      <c r="B718" s="170" t="s">
        <v>500</v>
      </c>
      <c r="C718" s="69"/>
      <c r="D718" s="70" t="s">
        <v>1604</v>
      </c>
      <c r="E718" s="73"/>
      <c r="N718" s="65" t="str">
        <f t="shared" si="27"/>
        <v/>
      </c>
      <c r="R718" s="65"/>
    </row>
    <row r="719" spans="2:18">
      <c r="B719" s="170" t="s">
        <v>505</v>
      </c>
      <c r="C719" s="69"/>
      <c r="D719" s="70" t="s">
        <v>1605</v>
      </c>
      <c r="E719" s="73"/>
      <c r="N719" s="65" t="str">
        <f t="shared" si="27"/>
        <v/>
      </c>
      <c r="R719" s="65"/>
    </row>
    <row r="720" spans="2:18">
      <c r="B720" s="170" t="s">
        <v>510</v>
      </c>
      <c r="C720" s="69"/>
      <c r="D720" s="70" t="s">
        <v>1606</v>
      </c>
      <c r="E720" s="73"/>
      <c r="N720" s="65" t="str">
        <f t="shared" si="27"/>
        <v/>
      </c>
      <c r="R720" s="65"/>
    </row>
    <row r="721" spans="2:18">
      <c r="B721" s="170" t="s">
        <v>520</v>
      </c>
      <c r="C721" s="69"/>
      <c r="D721" s="70" t="s">
        <v>1607</v>
      </c>
      <c r="E721" s="73"/>
      <c r="N721" s="65" t="str">
        <f t="shared" si="27"/>
        <v/>
      </c>
      <c r="R721" s="65"/>
    </row>
    <row r="722" spans="2:18">
      <c r="B722" s="170" t="s">
        <v>525</v>
      </c>
      <c r="C722" s="69"/>
      <c r="D722" s="70" t="s">
        <v>1608</v>
      </c>
      <c r="E722" s="73"/>
      <c r="N722" s="65" t="str">
        <f t="shared" si="27"/>
        <v/>
      </c>
      <c r="R722" s="65"/>
    </row>
    <row r="723" spans="2:18">
      <c r="B723" s="170" t="s">
        <v>530</v>
      </c>
      <c r="C723" s="69"/>
      <c r="D723" s="70" t="s">
        <v>1609</v>
      </c>
      <c r="E723" s="73"/>
      <c r="N723" s="65" t="str">
        <f t="shared" si="27"/>
        <v/>
      </c>
      <c r="R723" s="65"/>
    </row>
    <row r="724" spans="2:18">
      <c r="B724" s="170" t="s">
        <v>535</v>
      </c>
      <c r="C724" s="69"/>
      <c r="D724" s="70" t="s">
        <v>1610</v>
      </c>
      <c r="E724" s="73"/>
      <c r="N724" s="65" t="str">
        <f t="shared" si="27"/>
        <v/>
      </c>
      <c r="R724" s="65"/>
    </row>
    <row r="725" spans="2:18">
      <c r="B725" s="170" t="s">
        <v>545</v>
      </c>
      <c r="C725" s="69"/>
      <c r="D725" s="70" t="s">
        <v>1611</v>
      </c>
      <c r="E725" s="73"/>
      <c r="N725" s="65" t="str">
        <f t="shared" si="27"/>
        <v/>
      </c>
      <c r="R725" s="65"/>
    </row>
    <row r="726" spans="2:18">
      <c r="B726" s="170" t="s">
        <v>550</v>
      </c>
      <c r="C726" s="69"/>
      <c r="D726" s="70" t="s">
        <v>1612</v>
      </c>
      <c r="E726" s="73"/>
      <c r="N726" s="65" t="str">
        <f t="shared" si="27"/>
        <v/>
      </c>
      <c r="R726" s="65"/>
    </row>
    <row r="727" spans="2:18">
      <c r="B727" s="170" t="s">
        <v>559</v>
      </c>
      <c r="C727" s="69"/>
      <c r="D727" s="70" t="s">
        <v>1613</v>
      </c>
      <c r="E727" s="73"/>
      <c r="N727" s="65" t="str">
        <f t="shared" si="27"/>
        <v/>
      </c>
      <c r="R727" s="65"/>
    </row>
    <row r="728" spans="2:18">
      <c r="B728" s="170" t="s">
        <v>564</v>
      </c>
      <c r="C728" s="69"/>
      <c r="D728" s="70" t="s">
        <v>1614</v>
      </c>
      <c r="E728" s="73"/>
      <c r="N728" s="65" t="str">
        <f t="shared" si="27"/>
        <v/>
      </c>
      <c r="R728" s="65"/>
    </row>
    <row r="729" spans="2:18">
      <c r="B729" s="170" t="s">
        <v>589</v>
      </c>
      <c r="C729" s="69"/>
      <c r="D729" s="70" t="s">
        <v>1615</v>
      </c>
      <c r="E729" s="73"/>
      <c r="N729" s="65" t="str">
        <f t="shared" si="27"/>
        <v/>
      </c>
      <c r="R729" s="65"/>
    </row>
    <row r="730" spans="2:18">
      <c r="B730" s="170" t="s">
        <v>624</v>
      </c>
      <c r="C730" s="69"/>
      <c r="D730" s="70" t="s">
        <v>1616</v>
      </c>
      <c r="E730" s="73"/>
      <c r="N730" s="65" t="str">
        <f t="shared" si="27"/>
        <v/>
      </c>
      <c r="R730" s="65"/>
    </row>
    <row r="731" spans="2:18">
      <c r="B731" s="170" t="s">
        <v>634</v>
      </c>
      <c r="C731" s="69"/>
      <c r="D731" s="70" t="s">
        <v>1617</v>
      </c>
      <c r="E731" s="73"/>
      <c r="N731" s="65" t="str">
        <f t="shared" si="27"/>
        <v/>
      </c>
      <c r="R731" s="65"/>
    </row>
    <row r="732" spans="2:18">
      <c r="B732" s="170" t="s">
        <v>674</v>
      </c>
      <c r="C732" s="69"/>
      <c r="D732" s="70" t="s">
        <v>1618</v>
      </c>
      <c r="E732" s="73"/>
      <c r="N732" s="65" t="str">
        <f t="shared" si="27"/>
        <v/>
      </c>
      <c r="R732" s="65"/>
    </row>
    <row r="733" spans="2:18">
      <c r="B733" s="170" t="s">
        <v>358</v>
      </c>
      <c r="C733" s="69"/>
      <c r="D733" s="70" t="s">
        <v>360</v>
      </c>
      <c r="E733" s="73"/>
      <c r="N733" s="65" t="str">
        <f t="shared" si="27"/>
        <v/>
      </c>
      <c r="R733" s="65"/>
    </row>
    <row r="734" spans="2:18">
      <c r="B734" s="170" t="s">
        <v>364</v>
      </c>
      <c r="C734" s="69"/>
      <c r="D734" s="70" t="s">
        <v>366</v>
      </c>
      <c r="E734" s="73"/>
      <c r="N734" s="65" t="str">
        <f t="shared" si="27"/>
        <v/>
      </c>
      <c r="R734" s="65"/>
    </row>
    <row r="735" spans="2:18">
      <c r="B735" s="170" t="s">
        <v>737</v>
      </c>
      <c r="C735" s="69"/>
      <c r="D735" s="70" t="s">
        <v>1619</v>
      </c>
      <c r="E735" s="73"/>
      <c r="N735" s="65" t="str">
        <f t="shared" si="27"/>
        <v/>
      </c>
      <c r="R735" s="65"/>
    </row>
    <row r="736" spans="2:18">
      <c r="B736" s="170" t="s">
        <v>743</v>
      </c>
      <c r="C736" s="69"/>
      <c r="D736" s="70" t="s">
        <v>1620</v>
      </c>
      <c r="E736" s="73"/>
      <c r="N736" s="65" t="str">
        <f t="shared" si="27"/>
        <v/>
      </c>
      <c r="R736" s="65"/>
    </row>
    <row r="737" spans="2:18">
      <c r="B737" s="170" t="s">
        <v>748</v>
      </c>
      <c r="C737" s="69"/>
      <c r="D737" s="70" t="s">
        <v>1621</v>
      </c>
      <c r="E737" s="73"/>
      <c r="N737" s="65" t="str">
        <f t="shared" si="27"/>
        <v/>
      </c>
      <c r="R737" s="65"/>
    </row>
    <row r="738" spans="2:18">
      <c r="B738" s="170" t="s">
        <v>753</v>
      </c>
      <c r="C738" s="69"/>
      <c r="D738" s="70" t="s">
        <v>1622</v>
      </c>
      <c r="E738" s="73"/>
      <c r="N738" s="65" t="str">
        <f t="shared" si="27"/>
        <v/>
      </c>
      <c r="R738" s="65"/>
    </row>
    <row r="739" spans="2:18">
      <c r="B739" s="170" t="s">
        <v>758</v>
      </c>
      <c r="C739" s="69"/>
      <c r="D739" s="70" t="s">
        <v>1623</v>
      </c>
      <c r="E739" s="73"/>
      <c r="N739" s="65" t="str">
        <f t="shared" si="27"/>
        <v/>
      </c>
      <c r="R739" s="65"/>
    </row>
    <row r="740" spans="2:18">
      <c r="B740" s="170" t="s">
        <v>1624</v>
      </c>
      <c r="C740" s="69"/>
      <c r="D740" s="70" t="s">
        <v>1625</v>
      </c>
      <c r="E740" s="73"/>
      <c r="N740" s="65" t="str">
        <f t="shared" si="27"/>
        <v/>
      </c>
      <c r="R740" s="65"/>
    </row>
    <row r="741" spans="2:18">
      <c r="B741" s="170" t="s">
        <v>770</v>
      </c>
      <c r="C741" s="69"/>
      <c r="D741" s="70" t="s">
        <v>1626</v>
      </c>
      <c r="E741" s="73"/>
      <c r="N741" s="65" t="str">
        <f t="shared" si="27"/>
        <v/>
      </c>
      <c r="R741" s="65"/>
    </row>
    <row r="742" spans="2:18">
      <c r="B742" s="170" t="s">
        <v>772</v>
      </c>
      <c r="C742" s="69"/>
      <c r="D742" s="70" t="s">
        <v>1627</v>
      </c>
      <c r="E742" s="73"/>
      <c r="N742" s="65" t="str">
        <f t="shared" si="27"/>
        <v/>
      </c>
      <c r="R742" s="65"/>
    </row>
    <row r="743" spans="2:18">
      <c r="B743" s="170" t="s">
        <v>774</v>
      </c>
      <c r="C743" s="69"/>
      <c r="D743" s="70" t="s">
        <v>1628</v>
      </c>
      <c r="E743" s="73"/>
      <c r="N743" s="65" t="str">
        <f t="shared" si="27"/>
        <v/>
      </c>
      <c r="R743" s="65"/>
    </row>
    <row r="744" spans="2:18">
      <c r="B744" s="170" t="s">
        <v>275</v>
      </c>
      <c r="C744" s="69"/>
      <c r="D744" s="70" t="s">
        <v>277</v>
      </c>
      <c r="E744" s="73"/>
      <c r="N744" s="65" t="str">
        <f t="shared" si="27"/>
        <v/>
      </c>
      <c r="R744" s="65"/>
    </row>
    <row r="745" spans="2:18">
      <c r="B745" s="170" t="s">
        <v>782</v>
      </c>
      <c r="C745" s="69"/>
      <c r="D745" s="70" t="s">
        <v>1629</v>
      </c>
      <c r="E745" s="73"/>
      <c r="N745" s="65" t="str">
        <f t="shared" si="27"/>
        <v/>
      </c>
      <c r="R745" s="65"/>
    </row>
    <row r="746" spans="2:18">
      <c r="B746" s="170" t="s">
        <v>788</v>
      </c>
      <c r="C746" s="69"/>
      <c r="D746" s="70" t="s">
        <v>1630</v>
      </c>
      <c r="E746" s="73"/>
      <c r="N746" s="65" t="str">
        <f t="shared" si="27"/>
        <v/>
      </c>
      <c r="R746" s="65"/>
    </row>
    <row r="747" spans="2:18">
      <c r="B747" s="170" t="s">
        <v>1631</v>
      </c>
      <c r="C747" s="69"/>
      <c r="D747" s="70" t="s">
        <v>256</v>
      </c>
      <c r="E747" s="73"/>
      <c r="N747" s="65" t="str">
        <f t="shared" si="27"/>
        <v/>
      </c>
      <c r="R747" s="65"/>
    </row>
    <row r="748" spans="2:18">
      <c r="B748" s="170" t="s">
        <v>798</v>
      </c>
      <c r="C748" s="69"/>
      <c r="D748" s="70" t="s">
        <v>1632</v>
      </c>
      <c r="E748" s="73"/>
      <c r="N748" s="65" t="str">
        <f t="shared" si="27"/>
        <v/>
      </c>
      <c r="R748" s="65"/>
    </row>
    <row r="749" spans="2:18">
      <c r="B749" s="170" t="s">
        <v>803</v>
      </c>
      <c r="C749" s="69"/>
      <c r="D749" s="70" t="s">
        <v>1633</v>
      </c>
      <c r="E749" s="73"/>
      <c r="N749" s="65" t="str">
        <f t="shared" si="27"/>
        <v/>
      </c>
      <c r="R749" s="65"/>
    </row>
    <row r="750" spans="2:18">
      <c r="B750" s="170" t="s">
        <v>808</v>
      </c>
      <c r="C750" s="69"/>
      <c r="D750" s="70" t="s">
        <v>1634</v>
      </c>
      <c r="E750" s="73"/>
      <c r="N750" s="65" t="str">
        <f t="shared" si="27"/>
        <v/>
      </c>
      <c r="R750" s="65"/>
    </row>
    <row r="751" spans="2:18">
      <c r="B751" s="170" t="s">
        <v>813</v>
      </c>
      <c r="C751" s="69"/>
      <c r="D751" s="70" t="s">
        <v>1635</v>
      </c>
      <c r="E751" s="73"/>
      <c r="N751" s="65" t="str">
        <f t="shared" si="27"/>
        <v/>
      </c>
      <c r="R751" s="65"/>
    </row>
    <row r="752" spans="2:18">
      <c r="B752" s="170" t="s">
        <v>818</v>
      </c>
      <c r="C752" s="69"/>
      <c r="D752" s="70" t="s">
        <v>818</v>
      </c>
      <c r="E752" s="73"/>
      <c r="N752" s="65" t="str">
        <f t="shared" si="27"/>
        <v/>
      </c>
      <c r="R752" s="65"/>
    </row>
    <row r="753" spans="2:18">
      <c r="B753" s="170" t="s">
        <v>833</v>
      </c>
      <c r="C753" s="69"/>
      <c r="D753" s="70" t="s">
        <v>1636</v>
      </c>
      <c r="E753" s="73"/>
      <c r="N753" s="65" t="str">
        <f t="shared" si="27"/>
        <v/>
      </c>
      <c r="R753" s="65"/>
    </row>
    <row r="754" spans="2:18">
      <c r="B754" s="170" t="s">
        <v>838</v>
      </c>
      <c r="C754" s="70"/>
      <c r="D754" s="70" t="s">
        <v>1637</v>
      </c>
      <c r="E754" s="73"/>
      <c r="N754" s="65" t="str">
        <f t="shared" si="27"/>
        <v/>
      </c>
      <c r="R754" s="65"/>
    </row>
    <row r="755" spans="2:18">
      <c r="B755" s="170" t="s">
        <v>843</v>
      </c>
      <c r="C755" s="69"/>
      <c r="D755" s="70" t="s">
        <v>1638</v>
      </c>
      <c r="E755" s="73"/>
      <c r="N755" s="65" t="str">
        <f t="shared" si="27"/>
        <v/>
      </c>
      <c r="R755" s="65"/>
    </row>
    <row r="756" spans="2:18">
      <c r="B756" s="170" t="s">
        <v>863</v>
      </c>
      <c r="C756" s="69"/>
      <c r="D756" s="70" t="s">
        <v>1639</v>
      </c>
      <c r="E756" s="73"/>
      <c r="N756" s="65" t="str">
        <f t="shared" si="27"/>
        <v/>
      </c>
      <c r="R756" s="65"/>
    </row>
    <row r="757" spans="2:18">
      <c r="B757" s="170" t="s">
        <v>911</v>
      </c>
      <c r="C757" s="69"/>
      <c r="D757" s="70" t="s">
        <v>1640</v>
      </c>
      <c r="E757" s="73"/>
      <c r="N757" s="65" t="str">
        <f t="shared" si="27"/>
        <v/>
      </c>
      <c r="R757" s="65"/>
    </row>
    <row r="758" spans="2:18">
      <c r="B758" s="170" t="s">
        <v>925</v>
      </c>
      <c r="C758" s="69"/>
      <c r="D758" s="70" t="s">
        <v>1641</v>
      </c>
      <c r="E758" s="73"/>
      <c r="N758" s="65" t="str">
        <f t="shared" si="27"/>
        <v/>
      </c>
      <c r="R758" s="65"/>
    </row>
    <row r="759" spans="2:18">
      <c r="B759" s="170" t="s">
        <v>935</v>
      </c>
      <c r="C759" s="69"/>
      <c r="D759" s="70" t="s">
        <v>1642</v>
      </c>
      <c r="E759" s="73"/>
      <c r="N759" s="65" t="str">
        <f t="shared" si="27"/>
        <v/>
      </c>
      <c r="R759" s="65"/>
    </row>
    <row r="760" spans="2:18">
      <c r="B760" s="170" t="s">
        <v>944</v>
      </c>
      <c r="C760" s="70"/>
      <c r="D760" s="70" t="s">
        <v>1643</v>
      </c>
      <c r="E760" s="73"/>
      <c r="N760" s="65" t="str">
        <f t="shared" si="27"/>
        <v/>
      </c>
      <c r="R760" s="65"/>
    </row>
    <row r="761" spans="2:18">
      <c r="B761" s="170" t="s">
        <v>1644</v>
      </c>
      <c r="C761" s="69"/>
      <c r="D761" s="70" t="s">
        <v>1645</v>
      </c>
      <c r="E761" s="73"/>
      <c r="N761" s="65" t="str">
        <f t="shared" si="27"/>
        <v/>
      </c>
      <c r="R761" s="65"/>
    </row>
    <row r="762" spans="2:18">
      <c r="B762" s="170" t="s">
        <v>963</v>
      </c>
      <c r="C762" s="69"/>
      <c r="D762" s="70" t="s">
        <v>1636</v>
      </c>
      <c r="E762" s="73"/>
      <c r="N762" s="65" t="str">
        <f t="shared" si="27"/>
        <v/>
      </c>
      <c r="R762" s="65"/>
    </row>
    <row r="763" spans="2:18">
      <c r="B763" s="170" t="s">
        <v>1646</v>
      </c>
      <c r="C763" s="69"/>
      <c r="D763" s="70" t="s">
        <v>1647</v>
      </c>
      <c r="E763" s="73"/>
      <c r="N763" s="65" t="str">
        <f t="shared" si="27"/>
        <v/>
      </c>
      <c r="R763" s="65"/>
    </row>
    <row r="764" spans="2:18">
      <c r="B764" s="170" t="s">
        <v>980</v>
      </c>
      <c r="C764" s="69"/>
      <c r="D764" s="70" t="s">
        <v>1648</v>
      </c>
      <c r="E764" s="73"/>
      <c r="N764" s="65" t="str">
        <f t="shared" si="27"/>
        <v/>
      </c>
      <c r="R764" s="65"/>
    </row>
    <row r="765" spans="2:18">
      <c r="B765" s="170" t="s">
        <v>985</v>
      </c>
      <c r="C765" s="69"/>
      <c r="D765" s="70" t="s">
        <v>1649</v>
      </c>
      <c r="E765" s="73"/>
      <c r="N765" s="65" t="str">
        <f t="shared" si="27"/>
        <v/>
      </c>
      <c r="R765" s="65"/>
    </row>
    <row r="766" spans="2:18">
      <c r="B766" s="170" t="s">
        <v>990</v>
      </c>
      <c r="C766" s="69"/>
      <c r="D766" s="70" t="s">
        <v>1650</v>
      </c>
      <c r="E766" s="73"/>
      <c r="N766" s="65" t="str">
        <f t="shared" si="27"/>
        <v/>
      </c>
      <c r="R766" s="65"/>
    </row>
    <row r="767" spans="2:18">
      <c r="B767" s="170" t="s">
        <v>995</v>
      </c>
      <c r="C767" s="69"/>
      <c r="D767" s="70" t="s">
        <v>1651</v>
      </c>
      <c r="E767" s="73"/>
      <c r="N767" s="65" t="str">
        <f t="shared" si="27"/>
        <v/>
      </c>
      <c r="R767" s="65"/>
    </row>
    <row r="768" spans="2:18">
      <c r="B768" s="170" t="s">
        <v>1000</v>
      </c>
      <c r="C768" s="69"/>
      <c r="D768" s="70" t="s">
        <v>1652</v>
      </c>
      <c r="E768" s="73"/>
      <c r="N768" s="65" t="str">
        <f t="shared" si="27"/>
        <v/>
      </c>
      <c r="R768" s="65"/>
    </row>
    <row r="769" spans="2:18">
      <c r="B769" s="170" t="s">
        <v>1005</v>
      </c>
      <c r="C769" s="69"/>
      <c r="D769" s="70" t="s">
        <v>1653</v>
      </c>
      <c r="E769" s="73"/>
      <c r="N769" s="65" t="str">
        <f t="shared" si="27"/>
        <v/>
      </c>
      <c r="R769" s="65"/>
    </row>
    <row r="770" spans="2:18">
      <c r="B770" s="170" t="s">
        <v>1015</v>
      </c>
      <c r="C770" s="69"/>
      <c r="D770" s="70" t="s">
        <v>1654</v>
      </c>
      <c r="E770" s="73"/>
      <c r="N770" s="65" t="str">
        <f t="shared" si="27"/>
        <v/>
      </c>
      <c r="R770" s="65"/>
    </row>
    <row r="771" spans="2:18">
      <c r="B771" s="170" t="s">
        <v>1020</v>
      </c>
      <c r="C771" s="69"/>
      <c r="D771" s="70" t="s">
        <v>1655</v>
      </c>
      <c r="E771" s="73"/>
      <c r="N771" s="65" t="str">
        <f t="shared" ref="N771:N834" si="28">IF(ISERROR(FIND(" (include",P771)),"",RIGHT(P771,LEN(P771)-FIND(" (include",P771)))</f>
        <v/>
      </c>
      <c r="R771" s="65"/>
    </row>
    <row r="772" spans="2:18">
      <c r="B772" s="170" t="s">
        <v>1025</v>
      </c>
      <c r="C772" s="69"/>
      <c r="D772" s="70" t="s">
        <v>1656</v>
      </c>
      <c r="E772" s="73"/>
      <c r="N772" s="65" t="str">
        <f t="shared" si="28"/>
        <v/>
      </c>
      <c r="R772" s="65"/>
    </row>
    <row r="773" spans="2:18">
      <c r="B773" s="170" t="s">
        <v>1030</v>
      </c>
      <c r="C773" s="69"/>
      <c r="D773" s="70" t="s">
        <v>1657</v>
      </c>
      <c r="E773" s="73"/>
      <c r="N773" s="65" t="str">
        <f t="shared" si="28"/>
        <v/>
      </c>
      <c r="R773" s="65"/>
    </row>
    <row r="774" spans="2:18">
      <c r="B774" s="170" t="s">
        <v>1035</v>
      </c>
      <c r="C774" s="69"/>
      <c r="D774" s="70" t="s">
        <v>1658</v>
      </c>
      <c r="E774" s="73"/>
      <c r="N774" s="65" t="str">
        <f t="shared" si="28"/>
        <v/>
      </c>
      <c r="R774" s="65"/>
    </row>
    <row r="775" spans="2:18">
      <c r="B775" s="170" t="s">
        <v>1040</v>
      </c>
      <c r="C775" s="69"/>
      <c r="D775" s="70" t="s">
        <v>1659</v>
      </c>
      <c r="E775" s="73"/>
      <c r="N775" s="65" t="str">
        <f t="shared" si="28"/>
        <v/>
      </c>
      <c r="R775" s="65"/>
    </row>
    <row r="776" spans="2:18">
      <c r="B776" s="170" t="s">
        <v>1050</v>
      </c>
      <c r="C776" s="69"/>
      <c r="D776" s="70" t="s">
        <v>1660</v>
      </c>
      <c r="E776" s="73"/>
      <c r="N776" s="65" t="str">
        <f t="shared" si="28"/>
        <v/>
      </c>
      <c r="R776" s="65"/>
    </row>
    <row r="777" spans="2:18">
      <c r="B777" s="170" t="s">
        <v>1055</v>
      </c>
      <c r="C777" s="69"/>
      <c r="D777" s="70" t="s">
        <v>1661</v>
      </c>
      <c r="E777" s="73"/>
      <c r="N777" s="65" t="str">
        <f t="shared" si="28"/>
        <v/>
      </c>
      <c r="R777" s="65"/>
    </row>
    <row r="778" spans="2:18">
      <c r="B778" s="170" t="s">
        <v>1662</v>
      </c>
      <c r="C778" s="69"/>
      <c r="D778" s="70" t="s">
        <v>1663</v>
      </c>
      <c r="E778" s="73"/>
      <c r="N778" s="65" t="str">
        <f t="shared" si="28"/>
        <v/>
      </c>
      <c r="R778" s="65"/>
    </row>
    <row r="779" spans="2:18">
      <c r="B779" s="170" t="s">
        <v>1064</v>
      </c>
      <c r="C779" s="70"/>
      <c r="D779" s="70" t="s">
        <v>1664</v>
      </c>
      <c r="E779" s="73"/>
      <c r="N779" s="65" t="str">
        <f t="shared" si="28"/>
        <v/>
      </c>
      <c r="R779" s="65"/>
    </row>
    <row r="780" spans="2:18">
      <c r="B780" s="170" t="s">
        <v>1067</v>
      </c>
      <c r="C780" s="69"/>
      <c r="D780" s="70" t="s">
        <v>1665</v>
      </c>
      <c r="E780" s="73"/>
      <c r="N780" s="65" t="str">
        <f t="shared" si="28"/>
        <v/>
      </c>
      <c r="R780" s="65"/>
    </row>
    <row r="781" spans="2:18">
      <c r="B781" s="170" t="s">
        <v>1070</v>
      </c>
      <c r="C781" s="69"/>
      <c r="D781" s="70" t="s">
        <v>1666</v>
      </c>
      <c r="E781" s="73"/>
      <c r="N781" s="65" t="str">
        <f t="shared" si="28"/>
        <v/>
      </c>
      <c r="R781" s="65"/>
    </row>
    <row r="782" spans="2:18">
      <c r="B782" s="170" t="s">
        <v>1076</v>
      </c>
      <c r="C782" s="69"/>
      <c r="D782" s="70" t="s">
        <v>1667</v>
      </c>
      <c r="E782" s="73"/>
      <c r="N782" s="65" t="str">
        <f t="shared" si="28"/>
        <v/>
      </c>
      <c r="R782" s="65"/>
    </row>
    <row r="783" spans="2:18">
      <c r="B783" s="170" t="s">
        <v>1085</v>
      </c>
      <c r="C783" s="69"/>
      <c r="D783" s="70" t="s">
        <v>1668</v>
      </c>
      <c r="E783" s="73"/>
      <c r="N783" s="65" t="str">
        <f t="shared" si="28"/>
        <v/>
      </c>
      <c r="R783" s="65"/>
    </row>
    <row r="784" spans="2:18">
      <c r="B784" s="170" t="s">
        <v>1088</v>
      </c>
      <c r="C784" s="69"/>
      <c r="D784" s="70" t="s">
        <v>1669</v>
      </c>
      <c r="E784" s="73"/>
      <c r="N784" s="65" t="str">
        <f t="shared" si="28"/>
        <v/>
      </c>
      <c r="R784" s="65"/>
    </row>
    <row r="785" spans="2:18">
      <c r="B785" s="170" t="s">
        <v>1091</v>
      </c>
      <c r="C785" s="69"/>
      <c r="D785" s="70" t="s">
        <v>1670</v>
      </c>
      <c r="E785" s="73"/>
      <c r="N785" s="65" t="str">
        <f t="shared" si="28"/>
        <v/>
      </c>
      <c r="R785" s="65"/>
    </row>
    <row r="786" spans="2:18">
      <c r="B786" s="170" t="s">
        <v>1094</v>
      </c>
      <c r="C786" s="69"/>
      <c r="D786" s="70" t="s">
        <v>1671</v>
      </c>
      <c r="E786" s="73"/>
      <c r="N786" s="65" t="str">
        <f t="shared" si="28"/>
        <v/>
      </c>
      <c r="R786" s="65"/>
    </row>
    <row r="787" spans="2:18">
      <c r="B787" s="170" t="s">
        <v>1097</v>
      </c>
      <c r="C787" s="69"/>
      <c r="D787" s="70" t="s">
        <v>1672</v>
      </c>
      <c r="E787" s="73"/>
      <c r="N787" s="65" t="str">
        <f t="shared" si="28"/>
        <v/>
      </c>
      <c r="R787" s="65"/>
    </row>
    <row r="788" spans="2:18">
      <c r="B788" s="170" t="s">
        <v>1100</v>
      </c>
      <c r="C788" s="69"/>
      <c r="D788" s="70" t="s">
        <v>1673</v>
      </c>
      <c r="E788" s="73"/>
      <c r="N788" s="65" t="str">
        <f t="shared" si="28"/>
        <v/>
      </c>
      <c r="R788" s="65"/>
    </row>
    <row r="789" spans="2:18">
      <c r="B789" s="170" t="s">
        <v>1103</v>
      </c>
      <c r="C789" s="69"/>
      <c r="D789" s="70" t="s">
        <v>1674</v>
      </c>
      <c r="E789" s="73"/>
      <c r="N789" s="65" t="str">
        <f t="shared" si="28"/>
        <v/>
      </c>
      <c r="R789" s="65"/>
    </row>
    <row r="790" spans="2:18">
      <c r="B790" s="170" t="s">
        <v>1106</v>
      </c>
      <c r="C790" s="69"/>
      <c r="D790" s="70" t="s">
        <v>1675</v>
      </c>
      <c r="E790" s="73"/>
      <c r="N790" s="65" t="str">
        <f t="shared" si="28"/>
        <v/>
      </c>
      <c r="R790" s="65"/>
    </row>
    <row r="791" spans="2:18">
      <c r="B791" s="170" t="s">
        <v>1109</v>
      </c>
      <c r="C791" s="69"/>
      <c r="D791" s="70" t="s">
        <v>1676</v>
      </c>
      <c r="E791" s="73"/>
      <c r="N791" s="65" t="str">
        <f t="shared" si="28"/>
        <v/>
      </c>
      <c r="R791" s="65"/>
    </row>
    <row r="792" spans="2:18">
      <c r="B792" s="170" t="s">
        <v>1111</v>
      </c>
      <c r="C792" s="69"/>
      <c r="D792" s="70" t="s">
        <v>1677</v>
      </c>
      <c r="E792" s="73"/>
      <c r="N792" s="65" t="str">
        <f t="shared" si="28"/>
        <v/>
      </c>
      <c r="R792" s="65"/>
    </row>
    <row r="793" spans="2:18">
      <c r="B793" s="170" t="s">
        <v>1112</v>
      </c>
      <c r="C793" s="69"/>
      <c r="D793" s="70" t="s">
        <v>1678</v>
      </c>
      <c r="E793" s="73"/>
      <c r="N793" s="65" t="str">
        <f t="shared" si="28"/>
        <v/>
      </c>
      <c r="R793" s="65"/>
    </row>
    <row r="794" spans="2:18">
      <c r="B794" s="170" t="s">
        <v>1113</v>
      </c>
      <c r="C794" s="69"/>
      <c r="D794" s="70" t="s">
        <v>1679</v>
      </c>
      <c r="E794" s="73"/>
      <c r="N794" s="65" t="str">
        <f t="shared" si="28"/>
        <v/>
      </c>
      <c r="R794" s="65"/>
    </row>
    <row r="795" spans="2:18">
      <c r="B795" s="170" t="s">
        <v>1114</v>
      </c>
      <c r="C795" s="69"/>
      <c r="D795" s="70" t="s">
        <v>1680</v>
      </c>
      <c r="E795" s="73"/>
      <c r="N795" s="65" t="str">
        <f t="shared" si="28"/>
        <v/>
      </c>
      <c r="R795" s="65"/>
    </row>
    <row r="796" spans="2:18">
      <c r="B796" s="170" t="s">
        <v>1681</v>
      </c>
      <c r="C796" s="69"/>
      <c r="D796" s="70" t="s">
        <v>1682</v>
      </c>
      <c r="E796" s="73"/>
      <c r="N796" s="65" t="str">
        <f t="shared" si="28"/>
        <v/>
      </c>
      <c r="R796" s="65"/>
    </row>
    <row r="797" spans="2:18">
      <c r="B797" s="170" t="s">
        <v>1129</v>
      </c>
      <c r="C797" s="69"/>
      <c r="D797" s="70" t="s">
        <v>1683</v>
      </c>
      <c r="E797" s="73"/>
      <c r="N797" s="65" t="str">
        <f t="shared" si="28"/>
        <v/>
      </c>
      <c r="R797" s="65"/>
    </row>
    <row r="798" spans="2:18">
      <c r="B798" s="170" t="s">
        <v>1132</v>
      </c>
      <c r="C798" s="69"/>
      <c r="D798" s="70" t="s">
        <v>1684</v>
      </c>
      <c r="E798" s="73"/>
      <c r="N798" s="65" t="str">
        <f t="shared" si="28"/>
        <v/>
      </c>
      <c r="R798" s="65"/>
    </row>
    <row r="799" spans="2:18">
      <c r="B799" s="170" t="s">
        <v>1135</v>
      </c>
      <c r="C799" s="69"/>
      <c r="D799" s="70" t="s">
        <v>1685</v>
      </c>
      <c r="E799" s="73"/>
      <c r="N799" s="65" t="str">
        <f t="shared" si="28"/>
        <v/>
      </c>
      <c r="R799" s="65"/>
    </row>
    <row r="800" spans="2:18">
      <c r="B800" s="170" t="s">
        <v>1138</v>
      </c>
      <c r="C800" s="69"/>
      <c r="D800" s="70" t="s">
        <v>1686</v>
      </c>
      <c r="E800" s="73"/>
      <c r="N800" s="65" t="str">
        <f t="shared" si="28"/>
        <v/>
      </c>
      <c r="R800" s="65"/>
    </row>
    <row r="801" spans="2:18">
      <c r="B801" s="170" t="s">
        <v>1141</v>
      </c>
      <c r="C801" s="69"/>
      <c r="D801" s="70" t="s">
        <v>1687</v>
      </c>
      <c r="E801" s="73"/>
      <c r="N801" s="65" t="str">
        <f t="shared" si="28"/>
        <v/>
      </c>
      <c r="R801" s="65"/>
    </row>
    <row r="802" spans="2:18">
      <c r="B802" s="170" t="s">
        <v>1144</v>
      </c>
      <c r="C802" s="69"/>
      <c r="D802" s="70" t="s">
        <v>1688</v>
      </c>
      <c r="E802" s="73"/>
      <c r="N802" s="65" t="str">
        <f t="shared" si="28"/>
        <v/>
      </c>
      <c r="R802" s="65"/>
    </row>
    <row r="803" spans="2:18">
      <c r="B803" s="170" t="s">
        <v>1147</v>
      </c>
      <c r="C803" s="69"/>
      <c r="D803" s="70" t="s">
        <v>1689</v>
      </c>
      <c r="E803" s="73"/>
      <c r="N803" s="65" t="str">
        <f t="shared" si="28"/>
        <v/>
      </c>
      <c r="R803" s="65"/>
    </row>
    <row r="804" spans="2:18">
      <c r="B804" s="170" t="s">
        <v>1150</v>
      </c>
      <c r="C804" s="70"/>
      <c r="D804" s="70" t="s">
        <v>1690</v>
      </c>
      <c r="E804" s="73"/>
      <c r="N804" s="65" t="str">
        <f t="shared" si="28"/>
        <v/>
      </c>
      <c r="R804" s="65"/>
    </row>
    <row r="805" spans="2:18">
      <c r="B805" s="170" t="s">
        <v>1153</v>
      </c>
      <c r="C805" s="69"/>
      <c r="D805" s="70" t="s">
        <v>1691</v>
      </c>
      <c r="E805" s="73"/>
      <c r="N805" s="65" t="str">
        <f t="shared" si="28"/>
        <v/>
      </c>
      <c r="R805" s="65"/>
    </row>
    <row r="806" spans="2:18">
      <c r="B806" s="170" t="s">
        <v>1155</v>
      </c>
      <c r="C806" s="69"/>
      <c r="D806" s="70" t="s">
        <v>1692</v>
      </c>
      <c r="E806" s="73"/>
      <c r="N806" s="65" t="str">
        <f t="shared" si="28"/>
        <v/>
      </c>
      <c r="R806" s="65"/>
    </row>
    <row r="807" spans="2:18">
      <c r="B807" s="170" t="s">
        <v>1158</v>
      </c>
      <c r="C807" s="69"/>
      <c r="D807" s="70" t="s">
        <v>1693</v>
      </c>
      <c r="E807" s="73"/>
      <c r="N807" s="65" t="str">
        <f t="shared" si="28"/>
        <v/>
      </c>
      <c r="R807" s="65"/>
    </row>
    <row r="808" spans="2:18">
      <c r="B808" s="170" t="s">
        <v>1161</v>
      </c>
      <c r="C808" s="69"/>
      <c r="D808" s="70" t="s">
        <v>1694</v>
      </c>
      <c r="E808" s="73"/>
      <c r="N808" s="65" t="str">
        <f t="shared" si="28"/>
        <v/>
      </c>
      <c r="R808" s="65"/>
    </row>
    <row r="809" spans="2:18">
      <c r="B809" s="170" t="s">
        <v>1164</v>
      </c>
      <c r="C809" s="69"/>
      <c r="D809" s="70" t="s">
        <v>1695</v>
      </c>
      <c r="E809" s="73"/>
      <c r="N809" s="65" t="str">
        <f t="shared" si="28"/>
        <v/>
      </c>
      <c r="R809" s="65"/>
    </row>
    <row r="810" spans="2:18">
      <c r="B810" s="170" t="s">
        <v>1167</v>
      </c>
      <c r="C810" s="70"/>
      <c r="D810" s="70" t="s">
        <v>1696</v>
      </c>
      <c r="E810" s="73"/>
      <c r="N810" s="65" t="str">
        <f t="shared" si="28"/>
        <v/>
      </c>
      <c r="R810" s="65"/>
    </row>
    <row r="811" spans="2:18">
      <c r="B811" s="170" t="s">
        <v>1180</v>
      </c>
      <c r="C811" s="69"/>
      <c r="D811" s="70" t="s">
        <v>1697</v>
      </c>
      <c r="E811" s="73"/>
      <c r="N811" s="65" t="str">
        <f t="shared" si="28"/>
        <v/>
      </c>
      <c r="R811" s="65"/>
    </row>
    <row r="812" spans="2:18">
      <c r="B812" s="170" t="s">
        <v>1183</v>
      </c>
      <c r="C812" s="69"/>
      <c r="D812" s="70" t="s">
        <v>1698</v>
      </c>
      <c r="E812" s="73"/>
      <c r="N812" s="65" t="str">
        <f t="shared" si="28"/>
        <v/>
      </c>
      <c r="R812" s="65"/>
    </row>
    <row r="813" spans="2:18">
      <c r="B813" s="170" t="s">
        <v>1186</v>
      </c>
      <c r="C813" s="69"/>
      <c r="D813" s="70" t="s">
        <v>1699</v>
      </c>
      <c r="E813" s="73"/>
      <c r="N813" s="65" t="str">
        <f t="shared" si="28"/>
        <v/>
      </c>
      <c r="R813" s="65"/>
    </row>
    <row r="814" spans="2:18">
      <c r="B814" s="170" t="s">
        <v>1189</v>
      </c>
      <c r="C814" s="69"/>
      <c r="D814" s="70" t="s">
        <v>1700</v>
      </c>
      <c r="E814" s="73"/>
      <c r="N814" s="65" t="str">
        <f t="shared" si="28"/>
        <v/>
      </c>
      <c r="R814" s="65"/>
    </row>
    <row r="815" spans="2:18">
      <c r="B815" s="170" t="s">
        <v>1192</v>
      </c>
      <c r="C815" s="69"/>
      <c r="D815" s="70" t="s">
        <v>1701</v>
      </c>
      <c r="E815" s="73"/>
      <c r="N815" s="65" t="str">
        <f t="shared" si="28"/>
        <v/>
      </c>
      <c r="R815" s="65"/>
    </row>
    <row r="816" spans="2:18">
      <c r="B816" s="170" t="s">
        <v>1195</v>
      </c>
      <c r="C816" s="69"/>
      <c r="D816" s="70" t="s">
        <v>1702</v>
      </c>
      <c r="E816" s="73"/>
      <c r="N816" s="65" t="str">
        <f t="shared" si="28"/>
        <v/>
      </c>
      <c r="R816" s="65"/>
    </row>
    <row r="817" spans="2:18">
      <c r="B817" s="170" t="s">
        <v>1198</v>
      </c>
      <c r="C817" s="69"/>
      <c r="D817" s="70" t="s">
        <v>1703</v>
      </c>
      <c r="E817" s="73"/>
      <c r="N817" s="65" t="str">
        <f t="shared" si="28"/>
        <v/>
      </c>
      <c r="R817" s="65"/>
    </row>
    <row r="818" spans="2:18">
      <c r="B818" s="170" t="s">
        <v>1201</v>
      </c>
      <c r="C818" s="69"/>
      <c r="D818" s="70" t="s">
        <v>1704</v>
      </c>
      <c r="E818" s="73"/>
      <c r="N818" s="65" t="str">
        <f t="shared" si="28"/>
        <v/>
      </c>
      <c r="R818" s="65"/>
    </row>
    <row r="819" spans="2:18">
      <c r="B819" s="170" t="s">
        <v>1204</v>
      </c>
      <c r="C819" s="69"/>
      <c r="D819" s="70" t="s">
        <v>1705</v>
      </c>
      <c r="E819" s="73"/>
      <c r="N819" s="65" t="str">
        <f t="shared" si="28"/>
        <v/>
      </c>
      <c r="R819" s="65"/>
    </row>
    <row r="820" spans="2:18">
      <c r="B820" s="170" t="s">
        <v>1207</v>
      </c>
      <c r="C820" s="69"/>
      <c r="D820" s="70" t="s">
        <v>1706</v>
      </c>
      <c r="E820" s="73"/>
      <c r="N820" s="65" t="str">
        <f t="shared" si="28"/>
        <v/>
      </c>
      <c r="R820" s="65"/>
    </row>
    <row r="821" spans="2:18">
      <c r="B821" s="170" t="s">
        <v>1210</v>
      </c>
      <c r="C821" s="69"/>
      <c r="D821" s="70" t="s">
        <v>1707</v>
      </c>
      <c r="E821" s="73"/>
      <c r="N821" s="65" t="str">
        <f t="shared" si="28"/>
        <v/>
      </c>
      <c r="R821" s="65"/>
    </row>
    <row r="822" spans="2:18">
      <c r="B822" s="170" t="s">
        <v>1213</v>
      </c>
      <c r="C822" s="69"/>
      <c r="D822" s="70" t="s">
        <v>1708</v>
      </c>
      <c r="E822" s="73"/>
      <c r="N822" s="65" t="str">
        <f t="shared" si="28"/>
        <v/>
      </c>
      <c r="R822" s="65"/>
    </row>
    <row r="823" spans="2:18">
      <c r="B823" s="170" t="s">
        <v>1216</v>
      </c>
      <c r="C823" s="69"/>
      <c r="D823" s="70" t="s">
        <v>1709</v>
      </c>
      <c r="E823" s="73"/>
      <c r="N823" s="65" t="str">
        <f t="shared" si="28"/>
        <v/>
      </c>
      <c r="R823" s="65"/>
    </row>
    <row r="824" spans="2:18">
      <c r="B824" s="170" t="s">
        <v>1219</v>
      </c>
      <c r="C824" s="69"/>
      <c r="D824" s="70" t="s">
        <v>1710</v>
      </c>
      <c r="E824" s="73"/>
      <c r="N824" s="65" t="str">
        <f t="shared" si="28"/>
        <v/>
      </c>
      <c r="R824" s="65"/>
    </row>
    <row r="825" spans="2:18">
      <c r="B825" s="170" t="s">
        <v>1222</v>
      </c>
      <c r="C825" s="69"/>
      <c r="D825" s="70" t="s">
        <v>1711</v>
      </c>
      <c r="E825" s="73"/>
      <c r="N825" s="65" t="str">
        <f t="shared" si="28"/>
        <v/>
      </c>
      <c r="R825" s="65"/>
    </row>
    <row r="826" spans="2:18">
      <c r="B826" s="170" t="s">
        <v>1225</v>
      </c>
      <c r="C826" s="69"/>
      <c r="D826" s="70" t="s">
        <v>1712</v>
      </c>
      <c r="E826" s="73"/>
      <c r="N826" s="65" t="str">
        <f t="shared" si="28"/>
        <v/>
      </c>
      <c r="R826" s="65"/>
    </row>
    <row r="827" spans="2:18">
      <c r="B827" s="170" t="s">
        <v>1228</v>
      </c>
      <c r="C827" s="69"/>
      <c r="D827" s="70" t="s">
        <v>1713</v>
      </c>
      <c r="E827" s="73"/>
      <c r="N827" s="65" t="str">
        <f t="shared" si="28"/>
        <v/>
      </c>
      <c r="R827" s="65"/>
    </row>
    <row r="828" spans="2:18">
      <c r="B828" s="170" t="s">
        <v>1231</v>
      </c>
      <c r="C828" s="69"/>
      <c r="D828" s="70" t="s">
        <v>1714</v>
      </c>
      <c r="E828" s="73"/>
      <c r="N828" s="65" t="str">
        <f t="shared" si="28"/>
        <v/>
      </c>
      <c r="R828" s="65"/>
    </row>
    <row r="829" spans="2:18">
      <c r="B829" s="170" t="s">
        <v>1234</v>
      </c>
      <c r="C829" s="69"/>
      <c r="D829" s="70" t="s">
        <v>1715</v>
      </c>
      <c r="E829" s="73"/>
      <c r="N829" s="65" t="str">
        <f t="shared" si="28"/>
        <v/>
      </c>
      <c r="R829" s="65"/>
    </row>
    <row r="830" spans="2:18">
      <c r="B830" s="170" t="s">
        <v>1237</v>
      </c>
      <c r="C830" s="69"/>
      <c r="D830" s="70" t="s">
        <v>1716</v>
      </c>
      <c r="E830" s="73"/>
      <c r="N830" s="65" t="str">
        <f t="shared" si="28"/>
        <v/>
      </c>
      <c r="R830" s="65"/>
    </row>
    <row r="831" spans="2:18">
      <c r="B831" s="170" t="s">
        <v>104</v>
      </c>
      <c r="C831" s="69"/>
      <c r="D831" s="70" t="s">
        <v>1717</v>
      </c>
      <c r="E831" s="73"/>
      <c r="N831" s="65" t="str">
        <f t="shared" si="28"/>
        <v/>
      </c>
      <c r="R831" s="65"/>
    </row>
    <row r="832" spans="2:18">
      <c r="B832" s="170" t="s">
        <v>1246</v>
      </c>
      <c r="C832" s="69"/>
      <c r="D832" s="70" t="s">
        <v>1718</v>
      </c>
      <c r="E832" s="73"/>
      <c r="N832" s="65" t="str">
        <f t="shared" si="28"/>
        <v/>
      </c>
      <c r="R832" s="65"/>
    </row>
    <row r="833" spans="2:18" ht="25.5">
      <c r="B833" s="170" t="s">
        <v>1261</v>
      </c>
      <c r="C833" s="69"/>
      <c r="D833" s="70" t="s">
        <v>1719</v>
      </c>
      <c r="E833" s="73"/>
      <c r="N833" s="65" t="str">
        <f t="shared" si="28"/>
        <v/>
      </c>
      <c r="R833" s="65"/>
    </row>
    <row r="834" spans="2:18">
      <c r="B834" s="170" t="s">
        <v>1264</v>
      </c>
      <c r="C834" s="69"/>
      <c r="D834" s="70" t="s">
        <v>1720</v>
      </c>
      <c r="E834" s="73"/>
      <c r="N834" s="65" t="str">
        <f t="shared" si="28"/>
        <v/>
      </c>
      <c r="R834" s="65"/>
    </row>
    <row r="835" spans="2:18" ht="25.5">
      <c r="B835" s="170" t="s">
        <v>1267</v>
      </c>
      <c r="C835" s="69"/>
      <c r="D835" s="70" t="s">
        <v>1721</v>
      </c>
      <c r="E835" s="73"/>
      <c r="N835" s="65" t="str">
        <f t="shared" ref="N835:N844" si="29">IF(ISERROR(FIND(" (include",P835)),"",RIGHT(P835,LEN(P835)-FIND(" (include",P835)))</f>
        <v/>
      </c>
      <c r="R835" s="65"/>
    </row>
    <row r="836" spans="2:18">
      <c r="B836" s="170" t="s">
        <v>1270</v>
      </c>
      <c r="C836" s="69"/>
      <c r="D836" s="70" t="s">
        <v>1722</v>
      </c>
      <c r="E836" s="73"/>
      <c r="N836" s="65" t="str">
        <f t="shared" si="29"/>
        <v/>
      </c>
      <c r="R836" s="65"/>
    </row>
    <row r="837" spans="2:18">
      <c r="B837" s="170" t="s">
        <v>1723</v>
      </c>
      <c r="C837" s="69"/>
      <c r="D837" s="70" t="s">
        <v>1724</v>
      </c>
      <c r="E837" s="73"/>
      <c r="N837" s="65" t="str">
        <f t="shared" si="29"/>
        <v/>
      </c>
      <c r="R837" s="65"/>
    </row>
    <row r="838" spans="2:18">
      <c r="B838" s="170" t="s">
        <v>1725</v>
      </c>
      <c r="C838" s="69"/>
      <c r="D838" s="70" t="s">
        <v>1726</v>
      </c>
      <c r="E838" s="73"/>
      <c r="N838" s="65" t="str">
        <f t="shared" si="29"/>
        <v/>
      </c>
      <c r="R838" s="65"/>
    </row>
    <row r="839" spans="2:18" ht="25.5">
      <c r="B839" s="170" t="s">
        <v>1727</v>
      </c>
      <c r="C839" s="69"/>
      <c r="D839" s="70" t="s">
        <v>1728</v>
      </c>
      <c r="E839" s="73"/>
      <c r="N839" s="65" t="str">
        <f t="shared" si="29"/>
        <v/>
      </c>
      <c r="R839" s="65"/>
    </row>
    <row r="840" spans="2:18">
      <c r="B840" s="170" t="s">
        <v>823</v>
      </c>
      <c r="C840" s="69"/>
      <c r="D840" s="70" t="s">
        <v>1729</v>
      </c>
      <c r="E840" s="73"/>
      <c r="N840" s="65" t="str">
        <f t="shared" si="29"/>
        <v/>
      </c>
      <c r="R840" s="65"/>
    </row>
    <row r="841" spans="2:18">
      <c r="B841" s="170" t="s">
        <v>1730</v>
      </c>
      <c r="C841" s="69"/>
      <c r="D841" s="70" t="s">
        <v>1731</v>
      </c>
      <c r="E841" s="73"/>
      <c r="N841" s="65" t="str">
        <f t="shared" si="29"/>
        <v/>
      </c>
      <c r="R841" s="65"/>
    </row>
    <row r="842" spans="2:18">
      <c r="B842" s="170" t="s">
        <v>1732</v>
      </c>
      <c r="C842" s="69"/>
      <c r="D842" s="70" t="s">
        <v>1733</v>
      </c>
      <c r="E842" s="73"/>
      <c r="N842" s="65" t="str">
        <f t="shared" si="29"/>
        <v/>
      </c>
      <c r="R842" s="65"/>
    </row>
    <row r="843" spans="2:18">
      <c r="B843" s="170" t="s">
        <v>1734</v>
      </c>
      <c r="C843" s="69"/>
      <c r="D843" s="70" t="s">
        <v>1735</v>
      </c>
      <c r="E843" s="73"/>
      <c r="N843" s="65" t="str">
        <f t="shared" si="29"/>
        <v/>
      </c>
      <c r="R843" s="65"/>
    </row>
    <row r="844" spans="2:18">
      <c r="B844" s="170" t="s">
        <v>1738</v>
      </c>
      <c r="C844" s="69"/>
      <c r="D844" s="70" t="s">
        <v>1739</v>
      </c>
      <c r="E844" s="73"/>
      <c r="N844" s="65" t="str">
        <f t="shared" si="29"/>
        <v/>
      </c>
      <c r="R844" s="65"/>
    </row>
    <row r="845" spans="2:18">
      <c r="B845" s="170" t="s">
        <v>1740</v>
      </c>
      <c r="C845" s="69"/>
      <c r="D845" s="70" t="s">
        <v>1741</v>
      </c>
      <c r="E845" s="73"/>
      <c r="R845" s="65"/>
    </row>
    <row r="846" spans="2:18">
      <c r="B846" s="170" t="s">
        <v>1744</v>
      </c>
      <c r="C846" s="69"/>
      <c r="D846" s="70" t="s">
        <v>1745</v>
      </c>
      <c r="E846" s="73"/>
      <c r="R846" s="65"/>
    </row>
    <row r="847" spans="2:18">
      <c r="B847" s="170" t="s">
        <v>387</v>
      </c>
      <c r="C847" s="69"/>
      <c r="D847" s="70" t="s">
        <v>1752</v>
      </c>
      <c r="E847" s="73"/>
      <c r="R847" s="65"/>
    </row>
    <row r="848" spans="2:18">
      <c r="B848" s="170" t="s">
        <v>1753</v>
      </c>
      <c r="C848" s="69"/>
      <c r="D848" s="70" t="s">
        <v>1754</v>
      </c>
      <c r="E848" s="73"/>
      <c r="R848" s="65"/>
    </row>
    <row r="849" spans="2:18">
      <c r="B849" s="170" t="s">
        <v>1755</v>
      </c>
      <c r="C849" s="69"/>
      <c r="D849" s="70" t="s">
        <v>1756</v>
      </c>
      <c r="E849" s="73"/>
      <c r="R849" s="65"/>
    </row>
    <row r="850" spans="2:18">
      <c r="B850" s="170" t="s">
        <v>373</v>
      </c>
      <c r="C850" s="69"/>
      <c r="D850" s="70" t="s">
        <v>1757</v>
      </c>
      <c r="E850" s="73"/>
      <c r="R850" s="65"/>
    </row>
    <row r="851" spans="2:18">
      <c r="B851" s="170" t="s">
        <v>1758</v>
      </c>
      <c r="C851" s="69"/>
      <c r="D851" s="70" t="s">
        <v>1759</v>
      </c>
      <c r="E851" s="73"/>
      <c r="R851" s="65"/>
    </row>
    <row r="852" spans="2:18">
      <c r="B852" s="170" t="s">
        <v>1760</v>
      </c>
      <c r="C852" s="69"/>
      <c r="D852" s="70" t="s">
        <v>1761</v>
      </c>
      <c r="E852" s="73"/>
      <c r="R852" s="65"/>
    </row>
    <row r="853" spans="2:18">
      <c r="B853" s="170" t="s">
        <v>377</v>
      </c>
      <c r="C853" s="69"/>
      <c r="D853" s="70" t="s">
        <v>1762</v>
      </c>
      <c r="E853" s="73"/>
      <c r="R853" s="65"/>
    </row>
    <row r="854" spans="2:18">
      <c r="B854" s="170" t="s">
        <v>1763</v>
      </c>
      <c r="C854" s="69"/>
      <c r="D854" s="70" t="s">
        <v>1764</v>
      </c>
      <c r="E854" s="73"/>
      <c r="R854" s="65"/>
    </row>
    <row r="855" spans="2:18">
      <c r="B855" s="170" t="s">
        <v>1765</v>
      </c>
      <c r="C855" s="69"/>
      <c r="D855" s="70" t="s">
        <v>1766</v>
      </c>
      <c r="E855" s="73"/>
      <c r="R855" s="65"/>
    </row>
    <row r="856" spans="2:18">
      <c r="B856" s="170" t="s">
        <v>382</v>
      </c>
      <c r="C856" s="69"/>
      <c r="D856" s="70" t="s">
        <v>1767</v>
      </c>
      <c r="E856" s="73"/>
      <c r="R856" s="65"/>
    </row>
    <row r="857" spans="2:18">
      <c r="B857" s="170" t="s">
        <v>1768</v>
      </c>
      <c r="C857" s="69"/>
      <c r="D857" s="70" t="s">
        <v>1769</v>
      </c>
      <c r="E857" s="73"/>
    </row>
    <row r="858" spans="2:18">
      <c r="B858" s="170" t="s">
        <v>1770</v>
      </c>
      <c r="C858" s="69"/>
      <c r="D858" s="70" t="s">
        <v>1771</v>
      </c>
      <c r="E858" s="73"/>
    </row>
    <row r="859" spans="2:18">
      <c r="B859" s="170" t="s">
        <v>1772</v>
      </c>
      <c r="C859" s="69"/>
      <c r="D859" s="70" t="s">
        <v>1773</v>
      </c>
      <c r="E859" s="73"/>
    </row>
    <row r="860" spans="2:18">
      <c r="B860" s="170" t="s">
        <v>1774</v>
      </c>
      <c r="C860" s="69"/>
      <c r="D860" s="70" t="s">
        <v>1775</v>
      </c>
      <c r="E860" s="73"/>
    </row>
    <row r="861" spans="2:18">
      <c r="B861" s="170" t="s">
        <v>654</v>
      </c>
      <c r="C861" s="69"/>
      <c r="D861" s="70" t="s">
        <v>1776</v>
      </c>
      <c r="E861" s="73"/>
    </row>
    <row r="862" spans="2:18">
      <c r="B862" s="170" t="s">
        <v>609</v>
      </c>
      <c r="C862" s="69"/>
      <c r="D862" s="70" t="s">
        <v>1779</v>
      </c>
      <c r="E862" s="73"/>
    </row>
    <row r="863" spans="2:18">
      <c r="B863" s="170" t="s">
        <v>1780</v>
      </c>
      <c r="C863" s="69"/>
      <c r="D863" s="70" t="s">
        <v>1781</v>
      </c>
      <c r="E863" s="73"/>
    </row>
    <row r="864" spans="2:18">
      <c r="B864" s="170" t="s">
        <v>1782</v>
      </c>
      <c r="C864" s="69"/>
      <c r="D864" s="70" t="s">
        <v>1783</v>
      </c>
      <c r="E864" s="73"/>
    </row>
    <row r="865" spans="2:5">
      <c r="B865" s="170" t="s">
        <v>604</v>
      </c>
      <c r="C865" s="69"/>
      <c r="D865" s="70" t="s">
        <v>1784</v>
      </c>
      <c r="E865" s="73"/>
    </row>
    <row r="866" spans="2:5">
      <c r="B866" s="170" t="s">
        <v>584</v>
      </c>
      <c r="C866" s="69"/>
      <c r="D866" s="70" t="s">
        <v>1787</v>
      </c>
      <c r="E866" s="73"/>
    </row>
    <row r="867" spans="2:5">
      <c r="B867" s="170" t="s">
        <v>696</v>
      </c>
      <c r="C867" s="69"/>
      <c r="D867" s="70" t="s">
        <v>1788</v>
      </c>
      <c r="E867" s="73"/>
    </row>
    <row r="868" spans="2:5">
      <c r="B868" s="170" t="s">
        <v>1793</v>
      </c>
      <c r="C868" s="69"/>
      <c r="D868" s="70" t="s">
        <v>1794</v>
      </c>
      <c r="E868" s="73"/>
    </row>
    <row r="869" spans="2:5">
      <c r="B869" s="170" t="s">
        <v>1797</v>
      </c>
      <c r="C869" s="69"/>
      <c r="D869" s="70" t="s">
        <v>1798</v>
      </c>
      <c r="E869" s="73"/>
    </row>
    <row r="870" spans="2:5">
      <c r="B870" s="170" t="s">
        <v>1799</v>
      </c>
      <c r="C870" s="69"/>
      <c r="D870" s="70" t="s">
        <v>1800</v>
      </c>
      <c r="E870" s="73"/>
    </row>
    <row r="871" spans="2:5">
      <c r="B871" s="170" t="s">
        <v>1801</v>
      </c>
      <c r="C871" s="69"/>
      <c r="D871" s="70" t="s">
        <v>1802</v>
      </c>
      <c r="E871" s="73"/>
    </row>
    <row r="872" spans="2:5">
      <c r="B872" s="170" t="s">
        <v>434</v>
      </c>
      <c r="C872" s="69"/>
      <c r="D872" s="70" t="s">
        <v>1803</v>
      </c>
      <c r="E872" s="73"/>
    </row>
    <row r="873" spans="2:5">
      <c r="B873" s="170" t="s">
        <v>1804</v>
      </c>
      <c r="C873" s="69"/>
      <c r="D873" s="70" t="s">
        <v>1805</v>
      </c>
      <c r="E873" s="73"/>
    </row>
    <row r="874" spans="2:5">
      <c r="B874" s="170" t="s">
        <v>1806</v>
      </c>
      <c r="C874" s="69"/>
      <c r="D874" s="70" t="s">
        <v>1807</v>
      </c>
      <c r="E874" s="73"/>
    </row>
    <row r="875" spans="2:5">
      <c r="B875" s="170" t="s">
        <v>1808</v>
      </c>
      <c r="C875" s="69"/>
      <c r="D875" s="70" t="s">
        <v>1809</v>
      </c>
      <c r="E875" s="73"/>
    </row>
    <row r="876" spans="2:5">
      <c r="B876" s="170" t="s">
        <v>1810</v>
      </c>
      <c r="C876" s="69"/>
      <c r="D876" s="70" t="s">
        <v>1811</v>
      </c>
      <c r="E876" s="73"/>
    </row>
    <row r="877" spans="2:5">
      <c r="B877" s="170" t="s">
        <v>1812</v>
      </c>
      <c r="C877" s="69"/>
      <c r="D877" s="70" t="s">
        <v>1813</v>
      </c>
      <c r="E877" s="73"/>
    </row>
    <row r="878" spans="2:5">
      <c r="B878" s="170" t="s">
        <v>1824</v>
      </c>
      <c r="C878" s="69"/>
      <c r="D878" s="70" t="s">
        <v>1825</v>
      </c>
      <c r="E878" s="73"/>
    </row>
    <row r="879" spans="2:5">
      <c r="B879" s="170" t="s">
        <v>1826</v>
      </c>
      <c r="C879" s="69"/>
      <c r="D879" s="70" t="s">
        <v>1827</v>
      </c>
      <c r="E879" s="73"/>
    </row>
    <row r="880" spans="2:5">
      <c r="B880" s="170" t="s">
        <v>1828</v>
      </c>
      <c r="C880" s="69"/>
      <c r="D880" s="70" t="s">
        <v>1829</v>
      </c>
      <c r="E880" s="73"/>
    </row>
    <row r="881" spans="2:5">
      <c r="B881" s="170" t="s">
        <v>1830</v>
      </c>
      <c r="C881" s="69"/>
      <c r="D881" s="70" t="s">
        <v>1831</v>
      </c>
      <c r="E881" s="73"/>
    </row>
    <row r="882" spans="2:5">
      <c r="B882" s="170" t="s">
        <v>1832</v>
      </c>
      <c r="C882" s="69"/>
      <c r="D882" s="70" t="s">
        <v>1833</v>
      </c>
      <c r="E882" s="73"/>
    </row>
    <row r="883" spans="2:5">
      <c r="B883" s="170" t="s">
        <v>1834</v>
      </c>
      <c r="C883" s="69"/>
      <c r="D883" s="70" t="s">
        <v>1835</v>
      </c>
      <c r="E883" s="73"/>
    </row>
    <row r="884" spans="2:5">
      <c r="B884" s="170" t="s">
        <v>1836</v>
      </c>
      <c r="C884" s="69"/>
      <c r="D884" s="70" t="s">
        <v>1837</v>
      </c>
      <c r="E884" s="73"/>
    </row>
    <row r="885" spans="2:5">
      <c r="B885" s="170" t="s">
        <v>1838</v>
      </c>
      <c r="C885" s="69"/>
      <c r="D885" s="70" t="s">
        <v>1839</v>
      </c>
      <c r="E885" s="73"/>
    </row>
    <row r="886" spans="2:5">
      <c r="B886" s="170" t="s">
        <v>1840</v>
      </c>
      <c r="C886" s="69"/>
      <c r="D886" s="70" t="s">
        <v>1841</v>
      </c>
      <c r="E886" s="73"/>
    </row>
    <row r="887" spans="2:5">
      <c r="B887" s="170" t="s">
        <v>1842</v>
      </c>
      <c r="C887" s="69"/>
      <c r="D887" s="70" t="s">
        <v>1843</v>
      </c>
      <c r="E887" s="73"/>
    </row>
    <row r="888" spans="2:5">
      <c r="B888" s="170" t="s">
        <v>1849</v>
      </c>
      <c r="C888" s="69"/>
      <c r="D888" s="70" t="s">
        <v>1850</v>
      </c>
      <c r="E888" s="73"/>
    </row>
    <row r="889" spans="2:5">
      <c r="B889" s="170" t="s">
        <v>1851</v>
      </c>
      <c r="C889" s="69"/>
      <c r="D889" s="70" t="s">
        <v>1852</v>
      </c>
      <c r="E889" s="73"/>
    </row>
    <row r="890" spans="2:5">
      <c r="B890" s="170" t="s">
        <v>1853</v>
      </c>
      <c r="C890" s="70"/>
      <c r="D890" s="70" t="s">
        <v>1854</v>
      </c>
      <c r="E890" s="73"/>
    </row>
    <row r="891" spans="2:5">
      <c r="B891" s="170" t="s">
        <v>1857</v>
      </c>
      <c r="C891" s="69"/>
      <c r="D891" s="70" t="s">
        <v>1858</v>
      </c>
      <c r="E891" s="73"/>
    </row>
    <row r="892" spans="2:5">
      <c r="B892" s="170" t="s">
        <v>1859</v>
      </c>
      <c r="C892" s="69"/>
      <c r="D892" s="70" t="s">
        <v>1860</v>
      </c>
      <c r="E892" s="73"/>
    </row>
    <row r="893" spans="2:5">
      <c r="B893" s="170" t="s">
        <v>1861</v>
      </c>
      <c r="C893" s="69"/>
      <c r="D893" s="70" t="s">
        <v>1862</v>
      </c>
      <c r="E893" s="73"/>
    </row>
    <row r="894" spans="2:5">
      <c r="B894" s="170" t="s">
        <v>1865</v>
      </c>
      <c r="C894" s="69"/>
      <c r="D894" s="70" t="s">
        <v>1866</v>
      </c>
      <c r="E894" s="73"/>
    </row>
    <row r="895" spans="2:5">
      <c r="B895" s="170" t="s">
        <v>1867</v>
      </c>
      <c r="C895" s="69"/>
      <c r="D895" s="70" t="s">
        <v>1868</v>
      </c>
      <c r="E895" s="73"/>
    </row>
    <row r="896" spans="2:5">
      <c r="B896" s="170" t="s">
        <v>641</v>
      </c>
      <c r="C896" s="69"/>
      <c r="D896" s="70" t="s">
        <v>1871</v>
      </c>
      <c r="E896" s="73"/>
    </row>
    <row r="897" spans="2:5">
      <c r="B897" s="170" t="s">
        <v>1874</v>
      </c>
      <c r="C897" s="69"/>
      <c r="D897" s="70" t="s">
        <v>1875</v>
      </c>
      <c r="E897" s="73"/>
    </row>
    <row r="898" spans="2:5">
      <c r="B898" s="170" t="s">
        <v>1876</v>
      </c>
      <c r="C898" s="69"/>
      <c r="D898" s="70" t="s">
        <v>1877</v>
      </c>
      <c r="E898" s="73"/>
    </row>
    <row r="899" spans="2:5">
      <c r="B899" s="170" t="s">
        <v>1878</v>
      </c>
      <c r="C899" s="69"/>
      <c r="D899" s="70" t="s">
        <v>1879</v>
      </c>
      <c r="E899" s="73"/>
    </row>
    <row r="900" spans="2:5">
      <c r="B900" s="170" t="s">
        <v>1880</v>
      </c>
      <c r="C900" s="69"/>
      <c r="D900" s="70" t="s">
        <v>1881</v>
      </c>
      <c r="E900" s="73"/>
    </row>
    <row r="901" spans="2:5">
      <c r="B901" s="170" t="s">
        <v>1892</v>
      </c>
      <c r="C901" s="69"/>
      <c r="D901" s="70" t="s">
        <v>1893</v>
      </c>
      <c r="E901" s="73"/>
    </row>
    <row r="902" spans="2:5">
      <c r="B902" s="170" t="s">
        <v>1255</v>
      </c>
      <c r="C902" s="69"/>
      <c r="D902" s="70" t="s">
        <v>1896</v>
      </c>
      <c r="E902" s="73"/>
    </row>
    <row r="903" spans="2:5">
      <c r="B903" s="170" t="s">
        <v>1897</v>
      </c>
      <c r="C903" s="69"/>
      <c r="D903" s="70" t="s">
        <v>1898</v>
      </c>
      <c r="E903" s="73"/>
    </row>
    <row r="904" spans="2:5">
      <c r="B904" s="170" t="s">
        <v>1899</v>
      </c>
      <c r="C904" s="69"/>
      <c r="D904" s="70" t="s">
        <v>1900</v>
      </c>
      <c r="E904" s="73"/>
    </row>
    <row r="905" spans="2:5">
      <c r="B905" s="170" t="s">
        <v>1901</v>
      </c>
      <c r="C905" s="69"/>
      <c r="D905" s="70" t="s">
        <v>1902</v>
      </c>
      <c r="E905" s="73"/>
    </row>
    <row r="906" spans="2:5">
      <c r="B906" s="170" t="s">
        <v>1903</v>
      </c>
      <c r="C906" s="69"/>
      <c r="D906" s="70" t="s">
        <v>1904</v>
      </c>
      <c r="E906" s="73"/>
    </row>
    <row r="907" spans="2:5">
      <c r="B907" s="170" t="s">
        <v>1905</v>
      </c>
      <c r="C907" s="69"/>
      <c r="D907" s="70" t="s">
        <v>1906</v>
      </c>
      <c r="E907" s="73"/>
    </row>
    <row r="908" spans="2:5">
      <c r="B908" s="170" t="s">
        <v>1907</v>
      </c>
      <c r="C908" s="69"/>
      <c r="D908" s="70" t="s">
        <v>1908</v>
      </c>
      <c r="E908" s="73"/>
    </row>
    <row r="909" spans="2:5">
      <c r="B909" s="170" t="s">
        <v>1909</v>
      </c>
      <c r="C909" s="69"/>
      <c r="D909" s="70" t="s">
        <v>1910</v>
      </c>
      <c r="E909" s="73"/>
    </row>
    <row r="910" spans="2:5">
      <c r="B910" s="170" t="s">
        <v>1913</v>
      </c>
      <c r="C910" s="69"/>
      <c r="D910" s="70" t="s">
        <v>1914</v>
      </c>
      <c r="E910" s="73"/>
    </row>
    <row r="911" spans="2:5">
      <c r="B911" s="170" t="s">
        <v>1917</v>
      </c>
      <c r="C911" s="69"/>
      <c r="D911" s="70" t="s">
        <v>1918</v>
      </c>
      <c r="E911" s="73"/>
    </row>
    <row r="912" spans="2:5">
      <c r="B912" s="170" t="s">
        <v>1919</v>
      </c>
      <c r="C912" s="69"/>
      <c r="D912" s="70" t="s">
        <v>1920</v>
      </c>
      <c r="E912" s="73"/>
    </row>
    <row r="913" spans="2:5">
      <c r="B913" s="170" t="s">
        <v>1921</v>
      </c>
      <c r="C913" s="69"/>
      <c r="D913" s="70" t="s">
        <v>1922</v>
      </c>
      <c r="E913" s="73"/>
    </row>
    <row r="914" spans="2:5">
      <c r="B914" s="170" t="s">
        <v>1923</v>
      </c>
      <c r="C914" s="69"/>
      <c r="D914" s="70" t="s">
        <v>1924</v>
      </c>
      <c r="E914" s="73"/>
    </row>
    <row r="915" spans="2:5">
      <c r="B915" s="170" t="s">
        <v>1925</v>
      </c>
      <c r="C915" s="69"/>
      <c r="D915" s="70" t="s">
        <v>1926</v>
      </c>
      <c r="E915" s="73"/>
    </row>
    <row r="916" spans="2:5">
      <c r="B916" s="170" t="s">
        <v>1927</v>
      </c>
      <c r="C916" s="69"/>
      <c r="D916" s="70" t="s">
        <v>1928</v>
      </c>
      <c r="E916" s="73"/>
    </row>
    <row r="917" spans="2:5">
      <c r="B917" s="170" t="s">
        <v>1929</v>
      </c>
      <c r="C917" s="69"/>
      <c r="D917" s="70" t="s">
        <v>1930</v>
      </c>
      <c r="E917" s="73"/>
    </row>
    <row r="918" spans="2:5">
      <c r="B918" s="170" t="s">
        <v>1931</v>
      </c>
      <c r="C918" s="69"/>
      <c r="D918" s="70" t="s">
        <v>1932</v>
      </c>
      <c r="E918" s="73"/>
    </row>
    <row r="919" spans="2:5">
      <c r="B919" s="170" t="s">
        <v>1933</v>
      </c>
      <c r="C919" s="69"/>
      <c r="D919" s="70" t="s">
        <v>1934</v>
      </c>
      <c r="E919" s="73"/>
    </row>
    <row r="920" spans="2:5">
      <c r="B920" s="170" t="s">
        <v>1935</v>
      </c>
      <c r="C920" s="69"/>
      <c r="D920" s="70" t="s">
        <v>1936</v>
      </c>
      <c r="E920" s="73"/>
    </row>
    <row r="921" spans="2:5">
      <c r="B921" s="170" t="s">
        <v>1937</v>
      </c>
      <c r="C921" s="69"/>
      <c r="D921" s="70" t="s">
        <v>1938</v>
      </c>
      <c r="E921" s="73"/>
    </row>
    <row r="922" spans="2:5">
      <c r="B922" s="170" t="s">
        <v>1939</v>
      </c>
      <c r="C922" s="69"/>
      <c r="D922" s="70" t="s">
        <v>1940</v>
      </c>
      <c r="E922" s="73"/>
    </row>
    <row r="923" spans="2:5">
      <c r="B923" s="170" t="s">
        <v>1941</v>
      </c>
      <c r="C923" s="69"/>
      <c r="D923" s="70" t="s">
        <v>1942</v>
      </c>
      <c r="E923" s="73"/>
    </row>
    <row r="924" spans="2:5">
      <c r="B924" s="170" t="s">
        <v>1948</v>
      </c>
      <c r="C924" s="69"/>
      <c r="D924" s="70" t="s">
        <v>1949</v>
      </c>
      <c r="E924" s="73"/>
    </row>
    <row r="925" spans="2:5">
      <c r="B925" s="170" t="s">
        <v>1956</v>
      </c>
      <c r="C925" s="69"/>
      <c r="D925" s="70" t="s">
        <v>1957</v>
      </c>
      <c r="E925" s="73"/>
    </row>
    <row r="926" spans="2:5">
      <c r="B926" s="90" t="s">
        <v>1965</v>
      </c>
      <c r="C926" s="72"/>
      <c r="D926" s="70" t="s">
        <v>1966</v>
      </c>
      <c r="E926" s="73"/>
    </row>
    <row r="927" spans="2:5">
      <c r="B927" s="170" t="s">
        <v>1967</v>
      </c>
      <c r="C927" s="69"/>
      <c r="D927" s="70" t="s">
        <v>1968</v>
      </c>
      <c r="E927" s="73"/>
    </row>
    <row r="928" spans="2:5">
      <c r="B928" s="170" t="s">
        <v>1973</v>
      </c>
      <c r="C928" s="69"/>
      <c r="D928" s="70" t="s">
        <v>1974</v>
      </c>
      <c r="E928" s="73"/>
    </row>
    <row r="929" spans="2:5">
      <c r="B929" s="170" t="s">
        <v>1977</v>
      </c>
      <c r="C929" s="69"/>
      <c r="D929" s="70" t="s">
        <v>1978</v>
      </c>
      <c r="E929" s="73"/>
    </row>
    <row r="930" spans="2:5">
      <c r="B930" s="90" t="s">
        <v>1979</v>
      </c>
      <c r="C930" s="69"/>
      <c r="D930" s="70" t="s">
        <v>1980</v>
      </c>
      <c r="E930" s="73"/>
    </row>
    <row r="931" spans="2:5">
      <c r="B931" s="90" t="s">
        <v>1981</v>
      </c>
      <c r="C931" s="69"/>
      <c r="D931" s="70" t="s">
        <v>1982</v>
      </c>
      <c r="E931" s="73"/>
    </row>
    <row r="932" spans="2:5">
      <c r="B932" s="170" t="s">
        <v>1983</v>
      </c>
      <c r="C932" s="69"/>
      <c r="D932" s="70" t="s">
        <v>1984</v>
      </c>
      <c r="E932" s="73"/>
    </row>
    <row r="933" spans="2:5">
      <c r="B933" s="170" t="s">
        <v>1985</v>
      </c>
      <c r="C933" s="69"/>
      <c r="D933" s="70" t="s">
        <v>1986</v>
      </c>
      <c r="E933" s="73"/>
    </row>
    <row r="934" spans="2:5">
      <c r="B934" s="170" t="s">
        <v>1987</v>
      </c>
      <c r="C934" s="69"/>
      <c r="D934" s="70" t="s">
        <v>1988</v>
      </c>
      <c r="E934" s="73"/>
    </row>
    <row r="935" spans="2:5">
      <c r="B935" s="170" t="s">
        <v>1989</v>
      </c>
      <c r="C935" s="69"/>
      <c r="D935" s="70" t="s">
        <v>1990</v>
      </c>
      <c r="E935" s="73"/>
    </row>
    <row r="936" spans="2:5">
      <c r="B936" s="170" t="s">
        <v>1991</v>
      </c>
      <c r="C936" s="69"/>
      <c r="D936" s="70" t="s">
        <v>1992</v>
      </c>
      <c r="E936" s="73"/>
    </row>
    <row r="937" spans="2:5">
      <c r="B937" s="170" t="s">
        <v>1994</v>
      </c>
      <c r="C937" s="69"/>
      <c r="D937" s="70" t="s">
        <v>1995</v>
      </c>
      <c r="E937" s="73"/>
    </row>
    <row r="938" spans="2:5">
      <c r="B938" s="170" t="s">
        <v>1996</v>
      </c>
      <c r="C938" s="69"/>
      <c r="D938" s="70" t="s">
        <v>1997</v>
      </c>
      <c r="E938" s="73"/>
    </row>
    <row r="939" spans="2:5">
      <c r="B939" s="170" t="s">
        <v>1998</v>
      </c>
      <c r="C939" s="69"/>
      <c r="D939" s="70" t="s">
        <v>1999</v>
      </c>
      <c r="E939" s="73"/>
    </row>
    <row r="940" spans="2:5">
      <c r="B940" s="170" t="s">
        <v>2000</v>
      </c>
      <c r="C940" s="69"/>
      <c r="D940" s="70" t="s">
        <v>2001</v>
      </c>
      <c r="E940" s="73"/>
    </row>
    <row r="941" spans="2:5">
      <c r="B941" s="170" t="s">
        <v>2002</v>
      </c>
      <c r="C941" s="69"/>
      <c r="D941" s="70" t="s">
        <v>2003</v>
      </c>
      <c r="E941" s="73"/>
    </row>
    <row r="942" spans="2:5">
      <c r="B942" s="170" t="s">
        <v>2004</v>
      </c>
      <c r="C942" s="69"/>
      <c r="D942" s="70" t="s">
        <v>2005</v>
      </c>
      <c r="E942" s="73"/>
    </row>
    <row r="943" spans="2:5">
      <c r="B943" s="170" t="s">
        <v>2006</v>
      </c>
      <c r="C943" s="69"/>
      <c r="D943" s="70" t="s">
        <v>2007</v>
      </c>
      <c r="E943" s="73"/>
    </row>
    <row r="944" spans="2:5">
      <c r="B944" s="170" t="s">
        <v>2016</v>
      </c>
      <c r="C944" s="69"/>
      <c r="D944" s="70" t="s">
        <v>2017</v>
      </c>
      <c r="E944" s="73"/>
    </row>
    <row r="945" spans="2:5">
      <c r="B945" s="170" t="s">
        <v>2018</v>
      </c>
      <c r="C945" s="69"/>
      <c r="D945" s="70" t="s">
        <v>2019</v>
      </c>
      <c r="E945" s="73"/>
    </row>
    <row r="946" spans="2:5">
      <c r="B946" s="170" t="s">
        <v>2020</v>
      </c>
      <c r="C946" s="69"/>
      <c r="D946" s="70" t="s">
        <v>2021</v>
      </c>
      <c r="E946" s="73"/>
    </row>
    <row r="947" spans="2:5">
      <c r="B947" s="170" t="s">
        <v>2022</v>
      </c>
      <c r="C947" s="69"/>
      <c r="D947" s="70" t="s">
        <v>2023</v>
      </c>
      <c r="E947" s="73"/>
    </row>
    <row r="948" spans="2:5">
      <c r="B948" s="90" t="s">
        <v>2024</v>
      </c>
      <c r="C948" s="69"/>
      <c r="D948" s="70" t="s">
        <v>2025</v>
      </c>
      <c r="E948" s="73"/>
    </row>
    <row r="949" spans="2:5">
      <c r="B949" s="170" t="s">
        <v>2026</v>
      </c>
      <c r="C949" s="69"/>
      <c r="D949" s="70" t="s">
        <v>2027</v>
      </c>
      <c r="E949" s="73"/>
    </row>
    <row r="950" spans="2:5">
      <c r="B950" s="90" t="s">
        <v>2028</v>
      </c>
      <c r="C950" s="69"/>
      <c r="D950" s="70" t="s">
        <v>2029</v>
      </c>
      <c r="E950" s="73"/>
    </row>
    <row r="951" spans="2:5">
      <c r="B951" s="170" t="s">
        <v>2030</v>
      </c>
      <c r="C951" s="69"/>
      <c r="D951" s="70" t="s">
        <v>2031</v>
      </c>
      <c r="E951" s="73"/>
    </row>
    <row r="952" spans="2:5">
      <c r="B952" s="170" t="s">
        <v>2032</v>
      </c>
      <c r="C952" s="69"/>
      <c r="D952" s="70" t="s">
        <v>2033</v>
      </c>
      <c r="E952" s="73"/>
    </row>
    <row r="953" spans="2:5">
      <c r="B953" s="170" t="s">
        <v>2034</v>
      </c>
      <c r="C953" s="69"/>
      <c r="D953" s="70" t="s">
        <v>2035</v>
      </c>
      <c r="E953" s="73"/>
    </row>
    <row r="954" spans="2:5">
      <c r="B954" s="170" t="s">
        <v>2036</v>
      </c>
      <c r="C954" s="69"/>
      <c r="D954" s="70" t="s">
        <v>2037</v>
      </c>
      <c r="E954" s="73"/>
    </row>
    <row r="955" spans="2:5">
      <c r="B955" s="170" t="s">
        <v>2038</v>
      </c>
      <c r="C955" s="69"/>
      <c r="D955" s="70" t="s">
        <v>2039</v>
      </c>
      <c r="E955" s="73"/>
    </row>
    <row r="956" spans="2:5">
      <c r="B956" s="170" t="s">
        <v>619</v>
      </c>
      <c r="C956" s="69"/>
      <c r="D956" s="70" t="s">
        <v>2042</v>
      </c>
      <c r="E956" s="73"/>
    </row>
    <row r="957" spans="2:5">
      <c r="B957" s="170" t="s">
        <v>2043</v>
      </c>
      <c r="C957" s="69"/>
      <c r="D957" s="70" t="s">
        <v>2044</v>
      </c>
      <c r="E957" s="73"/>
    </row>
    <row r="958" spans="2:5">
      <c r="B958" s="170" t="s">
        <v>2045</v>
      </c>
      <c r="C958" s="69"/>
      <c r="D958" s="70" t="s">
        <v>2046</v>
      </c>
      <c r="E958" s="73"/>
    </row>
    <row r="959" spans="2:5">
      <c r="B959" s="170" t="s">
        <v>2047</v>
      </c>
      <c r="C959" s="69"/>
      <c r="D959" s="70" t="s">
        <v>2048</v>
      </c>
      <c r="E959" s="73"/>
    </row>
    <row r="960" spans="2:5">
      <c r="B960" s="170" t="s">
        <v>2049</v>
      </c>
      <c r="C960" s="69"/>
      <c r="D960" s="70" t="s">
        <v>2050</v>
      </c>
      <c r="E960" s="73"/>
    </row>
    <row r="961" spans="2:5">
      <c r="B961" s="170" t="s">
        <v>2051</v>
      </c>
      <c r="C961" s="69"/>
      <c r="D961" s="70" t="s">
        <v>2052</v>
      </c>
      <c r="E961" s="73"/>
    </row>
    <row r="962" spans="2:5">
      <c r="B962" s="170" t="s">
        <v>2091</v>
      </c>
      <c r="C962" s="69"/>
      <c r="D962" s="70" t="s">
        <v>2092</v>
      </c>
      <c r="E962" s="73"/>
    </row>
    <row r="963" spans="2:5">
      <c r="B963" s="170" t="s">
        <v>2095</v>
      </c>
      <c r="C963" s="69"/>
      <c r="D963" s="70" t="s">
        <v>2096</v>
      </c>
      <c r="E963" s="73"/>
    </row>
    <row r="964" spans="2:5">
      <c r="B964" s="90" t="s">
        <v>2097</v>
      </c>
      <c r="C964" s="72"/>
      <c r="D964" s="70" t="s">
        <v>2098</v>
      </c>
      <c r="E964" s="73"/>
    </row>
    <row r="965" spans="2:5">
      <c r="B965" s="170" t="s">
        <v>2099</v>
      </c>
      <c r="C965" s="69"/>
      <c r="D965" s="70" t="s">
        <v>2100</v>
      </c>
      <c r="E965" s="73"/>
    </row>
    <row r="966" spans="2:5">
      <c r="B966" s="170" t="s">
        <v>2101</v>
      </c>
      <c r="C966" s="69"/>
      <c r="D966" s="70" t="s">
        <v>2102</v>
      </c>
      <c r="E966" s="73"/>
    </row>
    <row r="967" spans="2:5">
      <c r="B967" s="170" t="s">
        <v>2103</v>
      </c>
      <c r="C967" s="69"/>
      <c r="D967" s="70" t="s">
        <v>2104</v>
      </c>
      <c r="E967" s="73"/>
    </row>
    <row r="968" spans="2:5">
      <c r="B968" s="170" t="s">
        <v>2107</v>
      </c>
      <c r="C968" s="69"/>
      <c r="D968" s="70" t="s">
        <v>2108</v>
      </c>
      <c r="E968" s="73"/>
    </row>
    <row r="969" spans="2:5">
      <c r="B969" s="170" t="s">
        <v>2109</v>
      </c>
      <c r="C969" s="69"/>
      <c r="D969" s="70" t="s">
        <v>2110</v>
      </c>
      <c r="E969" s="73"/>
    </row>
    <row r="970" spans="2:5">
      <c r="B970" s="170" t="s">
        <v>2113</v>
      </c>
      <c r="C970" s="69"/>
      <c r="D970" s="70" t="s">
        <v>2114</v>
      </c>
      <c r="E970" s="73"/>
    </row>
    <row r="971" spans="2:5">
      <c r="B971" s="170" t="s">
        <v>2115</v>
      </c>
      <c r="C971" s="69"/>
      <c r="D971" s="70" t="s">
        <v>2116</v>
      </c>
      <c r="E971" s="73"/>
    </row>
    <row r="972" spans="2:5">
      <c r="B972" s="170" t="s">
        <v>2117</v>
      </c>
      <c r="C972" s="69"/>
      <c r="D972" s="70" t="s">
        <v>2118</v>
      </c>
      <c r="E972" s="73"/>
    </row>
    <row r="973" spans="2:5">
      <c r="B973" s="170" t="s">
        <v>2123</v>
      </c>
      <c r="C973" s="69"/>
      <c r="D973" s="70" t="s">
        <v>2124</v>
      </c>
      <c r="E973" s="73"/>
    </row>
    <row r="974" spans="2:5">
      <c r="B974" s="170" t="s">
        <v>2125</v>
      </c>
      <c r="C974" s="69"/>
      <c r="D974" s="70" t="s">
        <v>2126</v>
      </c>
      <c r="E974" s="73"/>
    </row>
    <row r="975" spans="2:5">
      <c r="B975" s="170" t="s">
        <v>2127</v>
      </c>
      <c r="C975" s="69"/>
      <c r="D975" s="70" t="s">
        <v>2128</v>
      </c>
      <c r="E975" s="73"/>
    </row>
    <row r="976" spans="2:5">
      <c r="B976" s="170" t="s">
        <v>2129</v>
      </c>
      <c r="C976" s="69"/>
      <c r="D976" s="70" t="s">
        <v>2130</v>
      </c>
      <c r="E976" s="73"/>
    </row>
    <row r="977" spans="2:5">
      <c r="B977" s="170" t="s">
        <v>2133</v>
      </c>
      <c r="C977" s="69"/>
      <c r="D977" s="70" t="s">
        <v>2134</v>
      </c>
      <c r="E977" s="73"/>
    </row>
    <row r="978" spans="2:5">
      <c r="B978" s="170" t="s">
        <v>2141</v>
      </c>
      <c r="C978" s="69"/>
      <c r="D978" s="70" t="s">
        <v>2142</v>
      </c>
      <c r="E978" s="73"/>
    </row>
    <row r="979" spans="2:5">
      <c r="B979" s="170" t="s">
        <v>2143</v>
      </c>
      <c r="C979" s="69"/>
      <c r="D979" s="70" t="s">
        <v>2144</v>
      </c>
      <c r="E979" s="73"/>
    </row>
    <row r="980" spans="2:5">
      <c r="B980" s="170" t="s">
        <v>2145</v>
      </c>
      <c r="C980" s="69"/>
      <c r="D980" s="70" t="s">
        <v>2146</v>
      </c>
      <c r="E980" s="73"/>
    </row>
    <row r="981" spans="2:5">
      <c r="B981" s="170" t="s">
        <v>2147</v>
      </c>
      <c r="C981" s="69"/>
      <c r="D981" s="70" t="s">
        <v>2148</v>
      </c>
      <c r="E981" s="73"/>
    </row>
    <row r="982" spans="2:5">
      <c r="B982" s="170" t="s">
        <v>2149</v>
      </c>
      <c r="C982" s="69"/>
      <c r="D982" s="70" t="s">
        <v>2150</v>
      </c>
      <c r="E982" s="73"/>
    </row>
    <row r="983" spans="2:5">
      <c r="B983" s="170" t="s">
        <v>2151</v>
      </c>
      <c r="C983" s="69"/>
      <c r="D983" s="70" t="s">
        <v>2152</v>
      </c>
      <c r="E983" s="73"/>
    </row>
    <row r="984" spans="2:5">
      <c r="B984" s="170" t="s">
        <v>2159</v>
      </c>
      <c r="C984" s="69"/>
      <c r="D984" s="70" t="s">
        <v>2160</v>
      </c>
      <c r="E984" s="73"/>
    </row>
    <row r="985" spans="2:5">
      <c r="B985" s="170" t="s">
        <v>2161</v>
      </c>
      <c r="C985" s="69"/>
      <c r="D985" s="70" t="s">
        <v>2162</v>
      </c>
      <c r="E985" s="73"/>
    </row>
    <row r="986" spans="2:5" ht="25.5">
      <c r="B986" s="170" t="s">
        <v>2163</v>
      </c>
      <c r="C986" s="69"/>
      <c r="D986" s="70" t="s">
        <v>2164</v>
      </c>
      <c r="E986" s="73"/>
    </row>
    <row r="987" spans="2:5">
      <c r="B987" s="170" t="s">
        <v>2167</v>
      </c>
      <c r="C987" s="69"/>
      <c r="D987" s="70" t="s">
        <v>2168</v>
      </c>
      <c r="E987" s="73"/>
    </row>
    <row r="988" spans="2:5">
      <c r="B988" s="170" t="s">
        <v>2169</v>
      </c>
      <c r="C988" s="69"/>
      <c r="D988" s="70" t="s">
        <v>2170</v>
      </c>
      <c r="E988" s="73"/>
    </row>
    <row r="989" spans="2:5">
      <c r="B989" s="170" t="s">
        <v>2171</v>
      </c>
      <c r="C989" s="69"/>
      <c r="D989" s="70" t="s">
        <v>2172</v>
      </c>
      <c r="E989" s="73"/>
    </row>
    <row r="990" spans="2:5">
      <c r="B990" s="170" t="s">
        <v>2173</v>
      </c>
      <c r="C990" s="69"/>
      <c r="D990" s="70" t="s">
        <v>2174</v>
      </c>
      <c r="E990" s="73"/>
    </row>
    <row r="991" spans="2:5">
      <c r="B991" s="170" t="s">
        <v>2175</v>
      </c>
      <c r="C991" s="69"/>
      <c r="D991" s="70" t="s">
        <v>2176</v>
      </c>
      <c r="E991" s="73"/>
    </row>
    <row r="992" spans="2:5">
      <c r="B992" s="170" t="s">
        <v>2177</v>
      </c>
      <c r="C992" s="69"/>
      <c r="D992" s="70" t="s">
        <v>2178</v>
      </c>
      <c r="E992" s="73"/>
    </row>
    <row r="993" spans="2:5">
      <c r="B993" s="170" t="s">
        <v>2179</v>
      </c>
      <c r="C993" s="69"/>
      <c r="D993" s="70" t="s">
        <v>2180</v>
      </c>
      <c r="E993" s="73"/>
    </row>
    <row r="994" spans="2:5">
      <c r="B994" s="170" t="s">
        <v>2181</v>
      </c>
      <c r="C994" s="69"/>
      <c r="D994" s="70" t="s">
        <v>2182</v>
      </c>
      <c r="E994" s="73"/>
    </row>
    <row r="995" spans="2:5">
      <c r="B995" s="170" t="s">
        <v>2183</v>
      </c>
      <c r="C995" s="69"/>
      <c r="D995" s="70" t="s">
        <v>2184</v>
      </c>
      <c r="E995" s="73"/>
    </row>
    <row r="996" spans="2:5">
      <c r="B996" s="170" t="s">
        <v>2185</v>
      </c>
      <c r="C996" s="69"/>
      <c r="D996" s="70" t="s">
        <v>2186</v>
      </c>
      <c r="E996" s="73"/>
    </row>
    <row r="997" spans="2:5">
      <c r="B997" s="170" t="s">
        <v>2189</v>
      </c>
      <c r="C997" s="69"/>
      <c r="D997" s="70" t="s">
        <v>2190</v>
      </c>
      <c r="E997" s="73"/>
    </row>
    <row r="998" spans="2:5">
      <c r="B998" s="170" t="s">
        <v>2191</v>
      </c>
      <c r="C998" s="69"/>
      <c r="D998" s="70" t="s">
        <v>2192</v>
      </c>
      <c r="E998" s="73"/>
    </row>
    <row r="999" spans="2:5">
      <c r="B999" s="170" t="s">
        <v>2193</v>
      </c>
      <c r="C999" s="69"/>
      <c r="D999" s="70" t="s">
        <v>2194</v>
      </c>
      <c r="E999" s="73"/>
    </row>
    <row r="1000" spans="2:5">
      <c r="B1000" s="170" t="s">
        <v>679</v>
      </c>
      <c r="C1000" s="69"/>
      <c r="D1000" s="70" t="s">
        <v>2195</v>
      </c>
      <c r="E1000" s="73"/>
    </row>
    <row r="1001" spans="2:5">
      <c r="B1001" s="170" t="s">
        <v>684</v>
      </c>
      <c r="C1001" s="69"/>
      <c r="D1001" s="70" t="s">
        <v>2196</v>
      </c>
      <c r="E1001" s="73"/>
    </row>
    <row r="1002" spans="2:5">
      <c r="B1002" s="170" t="s">
        <v>2197</v>
      </c>
      <c r="C1002" s="69"/>
      <c r="D1002" s="70" t="s">
        <v>666</v>
      </c>
      <c r="E1002" s="73"/>
    </row>
    <row r="1003" spans="2:5">
      <c r="B1003" s="170" t="s">
        <v>2198</v>
      </c>
      <c r="C1003" s="69"/>
      <c r="D1003" s="70" t="s">
        <v>2199</v>
      </c>
      <c r="E1003" s="73"/>
    </row>
    <row r="1004" spans="2:5">
      <c r="B1004" s="170" t="s">
        <v>699</v>
      </c>
      <c r="C1004" s="69"/>
      <c r="D1004" s="70" t="s">
        <v>2202</v>
      </c>
      <c r="E1004" s="73"/>
    </row>
    <row r="1005" spans="2:5">
      <c r="B1005" s="170" t="s">
        <v>2203</v>
      </c>
      <c r="C1005" s="69"/>
      <c r="D1005" s="70" t="s">
        <v>2204</v>
      </c>
      <c r="E1005" s="73"/>
    </row>
    <row r="1006" spans="2:5">
      <c r="B1006" s="170" t="s">
        <v>2212</v>
      </c>
      <c r="C1006" s="69"/>
      <c r="D1006" s="70" t="s">
        <v>2213</v>
      </c>
      <c r="E1006" s="73"/>
    </row>
    <row r="1007" spans="2:5">
      <c r="B1007" s="170" t="s">
        <v>2214</v>
      </c>
      <c r="C1007" s="69"/>
      <c r="D1007" s="70" t="s">
        <v>2215</v>
      </c>
      <c r="E1007" s="73"/>
    </row>
    <row r="1008" spans="2:5">
      <c r="B1008" s="170" t="s">
        <v>2216</v>
      </c>
      <c r="C1008" s="69"/>
      <c r="D1008" s="70" t="s">
        <v>2217</v>
      </c>
      <c r="E1008" s="73"/>
    </row>
    <row r="1009" spans="2:5">
      <c r="B1009" s="170" t="s">
        <v>2222</v>
      </c>
      <c r="C1009" s="69"/>
      <c r="D1009" s="70" t="s">
        <v>2223</v>
      </c>
      <c r="E1009" s="73"/>
    </row>
    <row r="1010" spans="2:5">
      <c r="B1010" s="170" t="s">
        <v>2224</v>
      </c>
      <c r="C1010" s="69"/>
      <c r="D1010" s="70" t="s">
        <v>2225</v>
      </c>
      <c r="E1010" s="73"/>
    </row>
    <row r="1011" spans="2:5">
      <c r="B1011" s="170" t="s">
        <v>2226</v>
      </c>
      <c r="C1011" s="69"/>
      <c r="D1011" s="70" t="s">
        <v>2227</v>
      </c>
      <c r="E1011" s="73"/>
    </row>
    <row r="1012" spans="2:5">
      <c r="B1012" s="170" t="s">
        <v>2228</v>
      </c>
      <c r="C1012" s="69"/>
      <c r="D1012" s="70" t="s">
        <v>2229</v>
      </c>
      <c r="E1012" s="73"/>
    </row>
    <row r="1013" spans="2:5">
      <c r="B1013" s="170" t="s">
        <v>2232</v>
      </c>
      <c r="C1013" s="69"/>
      <c r="D1013" s="70" t="s">
        <v>2233</v>
      </c>
      <c r="E1013" s="73"/>
    </row>
    <row r="1014" spans="2:5">
      <c r="B1014" s="170" t="s">
        <v>2234</v>
      </c>
      <c r="C1014" s="69"/>
      <c r="D1014" s="70" t="s">
        <v>2235</v>
      </c>
      <c r="E1014" s="73"/>
    </row>
    <row r="1015" spans="2:5">
      <c r="B1015" s="170" t="s">
        <v>2236</v>
      </c>
      <c r="C1015" s="69"/>
      <c r="D1015" s="70" t="s">
        <v>2237</v>
      </c>
      <c r="E1015" s="73"/>
    </row>
    <row r="1016" spans="2:5">
      <c r="B1016" s="170" t="s">
        <v>430</v>
      </c>
      <c r="C1016" s="69"/>
      <c r="D1016" s="70" t="s">
        <v>2238</v>
      </c>
      <c r="E1016" s="73"/>
    </row>
    <row r="1017" spans="2:5">
      <c r="B1017" s="170" t="s">
        <v>2239</v>
      </c>
      <c r="C1017" s="69"/>
      <c r="D1017" s="70" t="s">
        <v>2240</v>
      </c>
      <c r="E1017" s="73"/>
    </row>
    <row r="1018" spans="2:5">
      <c r="B1018" s="170" t="s">
        <v>2241</v>
      </c>
      <c r="C1018" s="69"/>
      <c r="D1018" s="70" t="s">
        <v>2242</v>
      </c>
      <c r="E1018" s="73"/>
    </row>
    <row r="1019" spans="2:5">
      <c r="B1019" s="170" t="s">
        <v>2243</v>
      </c>
      <c r="C1019" s="69"/>
      <c r="D1019" s="70" t="s">
        <v>2244</v>
      </c>
      <c r="E1019" s="73"/>
    </row>
    <row r="1020" spans="2:5">
      <c r="B1020" s="170" t="s">
        <v>1240</v>
      </c>
      <c r="C1020" s="69"/>
      <c r="D1020" s="70" t="s">
        <v>2245</v>
      </c>
      <c r="E1020" s="73"/>
    </row>
    <row r="1021" spans="2:5">
      <c r="B1021" s="170" t="s">
        <v>2248</v>
      </c>
      <c r="C1021" s="69"/>
      <c r="D1021" s="70" t="s">
        <v>2249</v>
      </c>
      <c r="E1021" s="73"/>
    </row>
    <row r="1022" spans="2:5">
      <c r="B1022" s="170" t="s">
        <v>2256</v>
      </c>
      <c r="C1022" s="69"/>
      <c r="D1022" s="70" t="s">
        <v>2257</v>
      </c>
      <c r="E1022" s="73"/>
    </row>
    <row r="1023" spans="2:5">
      <c r="B1023" s="170" t="s">
        <v>2258</v>
      </c>
      <c r="C1023" s="69"/>
      <c r="D1023" s="70" t="s">
        <v>2259</v>
      </c>
      <c r="E1023" s="73"/>
    </row>
    <row r="1024" spans="2:5">
      <c r="B1024" s="170" t="s">
        <v>2260</v>
      </c>
      <c r="C1024" s="69"/>
      <c r="D1024" s="70" t="s">
        <v>2261</v>
      </c>
      <c r="E1024" s="73"/>
    </row>
    <row r="1025" spans="2:5">
      <c r="B1025" s="170" t="s">
        <v>2262</v>
      </c>
      <c r="C1025" s="69"/>
      <c r="D1025" s="70" t="s">
        <v>2263</v>
      </c>
      <c r="E1025" s="73"/>
    </row>
    <row r="1026" spans="2:5">
      <c r="B1026" s="170" t="s">
        <v>2266</v>
      </c>
      <c r="C1026" s="69"/>
      <c r="D1026" s="70" t="s">
        <v>2267</v>
      </c>
      <c r="E1026" s="73"/>
    </row>
    <row r="1027" spans="2:5">
      <c r="B1027" s="170" t="s">
        <v>2268</v>
      </c>
      <c r="C1027" s="69"/>
      <c r="D1027" s="70" t="s">
        <v>2269</v>
      </c>
      <c r="E1027" s="73"/>
    </row>
    <row r="1028" spans="2:5">
      <c r="B1028" s="170" t="s">
        <v>2270</v>
      </c>
      <c r="C1028" s="69"/>
      <c r="D1028" s="70" t="s">
        <v>2271</v>
      </c>
      <c r="E1028" s="73"/>
    </row>
    <row r="1029" spans="2:5">
      <c r="B1029" s="170" t="s">
        <v>2272</v>
      </c>
      <c r="C1029" s="69"/>
      <c r="D1029" s="70" t="s">
        <v>2273</v>
      </c>
      <c r="E1029" s="73"/>
    </row>
    <row r="1030" spans="2:5">
      <c r="B1030" s="170" t="s">
        <v>2282</v>
      </c>
      <c r="C1030" s="69"/>
      <c r="D1030" s="70" t="s">
        <v>2283</v>
      </c>
      <c r="E1030" s="73"/>
    </row>
    <row r="1031" spans="2:5">
      <c r="B1031" s="170" t="s">
        <v>2284</v>
      </c>
      <c r="C1031" s="69"/>
      <c r="D1031" s="70" t="s">
        <v>2285</v>
      </c>
      <c r="E1031" s="73"/>
    </row>
    <row r="1032" spans="2:5">
      <c r="B1032" s="170" t="s">
        <v>2287</v>
      </c>
      <c r="C1032" s="69"/>
      <c r="D1032" s="70" t="s">
        <v>2288</v>
      </c>
      <c r="E1032" s="73"/>
    </row>
    <row r="1033" spans="2:5">
      <c r="B1033" s="170" t="s">
        <v>2289</v>
      </c>
      <c r="C1033" s="69"/>
      <c r="D1033" s="70" t="s">
        <v>2290</v>
      </c>
      <c r="E1033" s="73"/>
    </row>
    <row r="1034" spans="2:5">
      <c r="B1034" s="170" t="s">
        <v>2291</v>
      </c>
      <c r="C1034" s="69"/>
      <c r="D1034" s="70" t="s">
        <v>2292</v>
      </c>
      <c r="E1034" s="73"/>
    </row>
    <row r="1035" spans="2:5">
      <c r="B1035" s="170" t="s">
        <v>2299</v>
      </c>
      <c r="C1035" s="69"/>
      <c r="D1035" s="70" t="s">
        <v>2300</v>
      </c>
      <c r="E1035" s="73"/>
    </row>
    <row r="1036" spans="2:5">
      <c r="B1036" s="90" t="s">
        <v>2303</v>
      </c>
      <c r="C1036" s="69"/>
      <c r="D1036" s="70" t="s">
        <v>2304</v>
      </c>
      <c r="E1036" s="73"/>
    </row>
    <row r="1037" spans="2:5">
      <c r="B1037" s="90" t="s">
        <v>2305</v>
      </c>
      <c r="C1037" s="69"/>
      <c r="D1037" s="70" t="s">
        <v>2306</v>
      </c>
      <c r="E1037" s="73"/>
    </row>
    <row r="1038" spans="2:5">
      <c r="B1038" s="170" t="s">
        <v>2307</v>
      </c>
      <c r="C1038" s="69"/>
      <c r="D1038" s="70" t="s">
        <v>2308</v>
      </c>
      <c r="E1038" s="73"/>
    </row>
    <row r="1039" spans="2:5">
      <c r="B1039" s="170" t="s">
        <v>395</v>
      </c>
      <c r="C1039" s="69"/>
      <c r="D1039" s="70" t="s">
        <v>2309</v>
      </c>
      <c r="E1039" s="73"/>
    </row>
    <row r="1040" spans="2:5">
      <c r="B1040" s="170" t="s">
        <v>2315</v>
      </c>
      <c r="C1040" s="69"/>
      <c r="D1040" s="70" t="s">
        <v>2316</v>
      </c>
      <c r="E1040" s="73"/>
    </row>
    <row r="1041" spans="2:5">
      <c r="B1041" s="170" t="s">
        <v>2317</v>
      </c>
      <c r="C1041" s="69"/>
      <c r="D1041" s="70" t="s">
        <v>2318</v>
      </c>
      <c r="E1041" s="73"/>
    </row>
    <row r="1042" spans="2:5">
      <c r="B1042" s="170" t="s">
        <v>2319</v>
      </c>
      <c r="C1042" s="69"/>
      <c r="D1042" s="70" t="s">
        <v>2320</v>
      </c>
      <c r="E1042" s="73"/>
    </row>
    <row r="1043" spans="2:5">
      <c r="B1043" s="170" t="s">
        <v>2321</v>
      </c>
      <c r="C1043" s="69"/>
      <c r="D1043" s="70" t="s">
        <v>2322</v>
      </c>
      <c r="E1043" s="73"/>
    </row>
    <row r="1044" spans="2:5">
      <c r="B1044" s="170" t="s">
        <v>2323</v>
      </c>
      <c r="C1044" s="69"/>
      <c r="D1044" s="70" t="s">
        <v>2324</v>
      </c>
      <c r="E1044" s="73"/>
    </row>
    <row r="1045" spans="2:5">
      <c r="B1045" s="170" t="s">
        <v>2325</v>
      </c>
      <c r="C1045" s="69"/>
      <c r="D1045" s="70" t="s">
        <v>2326</v>
      </c>
      <c r="E1045" s="73"/>
    </row>
    <row r="1046" spans="2:5">
      <c r="B1046" s="170" t="s">
        <v>2327</v>
      </c>
      <c r="C1046" s="69"/>
      <c r="D1046" s="70" t="s">
        <v>2328</v>
      </c>
      <c r="E1046" s="73"/>
    </row>
    <row r="1047" spans="2:5">
      <c r="B1047" s="170" t="s">
        <v>2329</v>
      </c>
      <c r="C1047" s="69"/>
      <c r="D1047" s="70" t="s">
        <v>2330</v>
      </c>
      <c r="E1047" s="73"/>
    </row>
    <row r="1048" spans="2:5">
      <c r="B1048" s="170" t="s">
        <v>2333</v>
      </c>
      <c r="C1048" s="69"/>
      <c r="D1048" s="70" t="s">
        <v>2334</v>
      </c>
      <c r="E1048" s="73"/>
    </row>
    <row r="1049" spans="2:5">
      <c r="B1049" s="170" t="s">
        <v>2335</v>
      </c>
      <c r="C1049" s="69"/>
      <c r="D1049" s="70" t="s">
        <v>2336</v>
      </c>
      <c r="E1049" s="73"/>
    </row>
    <row r="1050" spans="2:5">
      <c r="B1050" s="170" t="s">
        <v>2337</v>
      </c>
      <c r="C1050" s="69"/>
      <c r="D1050" s="70" t="s">
        <v>2338</v>
      </c>
      <c r="E1050" s="73"/>
    </row>
    <row r="1051" spans="2:5">
      <c r="B1051" s="170" t="s">
        <v>2339</v>
      </c>
      <c r="C1051" s="69"/>
      <c r="D1051" s="70" t="s">
        <v>2340</v>
      </c>
      <c r="E1051" s="73"/>
    </row>
    <row r="1052" spans="2:5">
      <c r="B1052" s="170" t="s">
        <v>374</v>
      </c>
      <c r="C1052" s="69"/>
      <c r="D1052" s="70" t="s">
        <v>375</v>
      </c>
      <c r="E1052" s="73"/>
    </row>
    <row r="1053" spans="2:5">
      <c r="B1053" s="170" t="s">
        <v>2344</v>
      </c>
      <c r="C1053" s="69"/>
      <c r="D1053" s="70" t="s">
        <v>2345</v>
      </c>
      <c r="E1053" s="73"/>
    </row>
    <row r="1054" spans="2:5">
      <c r="B1054" s="170" t="s">
        <v>2346</v>
      </c>
      <c r="C1054" s="69"/>
      <c r="D1054" s="70" t="s">
        <v>2347</v>
      </c>
      <c r="E1054" s="73"/>
    </row>
    <row r="1055" spans="2:5">
      <c r="B1055" s="170" t="s">
        <v>2348</v>
      </c>
      <c r="C1055" s="69"/>
      <c r="D1055" s="70" t="s">
        <v>2349</v>
      </c>
      <c r="E1055" s="73"/>
    </row>
    <row r="1056" spans="2:5">
      <c r="B1056" s="170" t="s">
        <v>2350</v>
      </c>
      <c r="C1056" s="69"/>
      <c r="D1056" s="70" t="s">
        <v>2351</v>
      </c>
      <c r="E1056" s="73"/>
    </row>
    <row r="1057" spans="2:5">
      <c r="B1057" s="170" t="s">
        <v>2354</v>
      </c>
      <c r="C1057" s="69"/>
      <c r="D1057" s="70" t="s">
        <v>2355</v>
      </c>
      <c r="E1057" s="73"/>
    </row>
    <row r="1058" spans="2:5">
      <c r="B1058" s="170" t="s">
        <v>2356</v>
      </c>
      <c r="C1058" s="69"/>
      <c r="D1058" s="70" t="s">
        <v>2357</v>
      </c>
      <c r="E1058" s="73"/>
    </row>
    <row r="1059" spans="2:5">
      <c r="B1059" s="170" t="s">
        <v>2363</v>
      </c>
      <c r="C1059" s="69"/>
      <c r="D1059" s="70" t="s">
        <v>2364</v>
      </c>
      <c r="E1059" s="73"/>
    </row>
    <row r="1060" spans="2:5">
      <c r="B1060" s="170" t="s">
        <v>2365</v>
      </c>
      <c r="C1060" s="69"/>
      <c r="D1060" s="70" t="s">
        <v>3541</v>
      </c>
      <c r="E1060" s="73"/>
    </row>
    <row r="1061" spans="2:5">
      <c r="B1061" s="170" t="s">
        <v>2366</v>
      </c>
      <c r="C1061" s="69"/>
      <c r="D1061" s="70" t="s">
        <v>2367</v>
      </c>
      <c r="E1061" s="73"/>
    </row>
    <row r="1062" spans="2:5">
      <c r="B1062" s="170" t="s">
        <v>2368</v>
      </c>
      <c r="C1062" s="69"/>
      <c r="D1062" s="70" t="s">
        <v>2369</v>
      </c>
      <c r="E1062" s="73"/>
    </row>
    <row r="1063" spans="2:5">
      <c r="B1063" s="170" t="s">
        <v>2370</v>
      </c>
      <c r="C1063" s="69"/>
      <c r="D1063" s="70" t="s">
        <v>2371</v>
      </c>
      <c r="E1063" s="73"/>
    </row>
    <row r="1064" spans="2:5">
      <c r="B1064" s="170" t="s">
        <v>704</v>
      </c>
      <c r="C1064" s="69"/>
      <c r="D1064" s="70" t="s">
        <v>2374</v>
      </c>
      <c r="E1064" s="73"/>
    </row>
    <row r="1065" spans="2:5">
      <c r="B1065" s="170" t="s">
        <v>2377</v>
      </c>
      <c r="C1065" s="69"/>
      <c r="D1065" s="70" t="s">
        <v>2378</v>
      </c>
      <c r="E1065" s="73"/>
    </row>
    <row r="1066" spans="2:5">
      <c r="B1066" s="170" t="s">
        <v>689</v>
      </c>
      <c r="C1066" s="69"/>
      <c r="D1066" s="70" t="s">
        <v>2379</v>
      </c>
      <c r="E1066" s="73"/>
    </row>
    <row r="1067" spans="2:5">
      <c r="B1067" s="170" t="s">
        <v>2381</v>
      </c>
      <c r="C1067" s="69"/>
      <c r="D1067" s="70" t="s">
        <v>2382</v>
      </c>
      <c r="E1067" s="73"/>
    </row>
    <row r="1068" spans="2:5">
      <c r="B1068" s="170" t="s">
        <v>2385</v>
      </c>
      <c r="C1068" s="69"/>
      <c r="D1068" s="70" t="s">
        <v>2386</v>
      </c>
      <c r="E1068" s="73"/>
    </row>
    <row r="1069" spans="2:5">
      <c r="B1069" s="170" t="s">
        <v>2387</v>
      </c>
      <c r="C1069" s="69"/>
      <c r="D1069" s="70" t="s">
        <v>2388</v>
      </c>
      <c r="E1069" s="73"/>
    </row>
    <row r="1070" spans="2:5">
      <c r="B1070" s="170" t="s">
        <v>2389</v>
      </c>
      <c r="C1070" s="69"/>
      <c r="D1070" s="70" t="s">
        <v>2390</v>
      </c>
      <c r="E1070" s="73"/>
    </row>
    <row r="1071" spans="2:5">
      <c r="B1071" s="170" t="s">
        <v>2391</v>
      </c>
      <c r="C1071" s="69"/>
      <c r="D1071" s="70" t="s">
        <v>2392</v>
      </c>
      <c r="E1071" s="73"/>
    </row>
    <row r="1072" spans="2:5">
      <c r="B1072" s="170" t="s">
        <v>2393</v>
      </c>
      <c r="C1072" s="69"/>
      <c r="D1072" s="70" t="s">
        <v>2394</v>
      </c>
      <c r="E1072" s="73"/>
    </row>
    <row r="1073" spans="2:5">
      <c r="B1073" s="170" t="s">
        <v>2399</v>
      </c>
      <c r="C1073" s="69"/>
      <c r="D1073" s="70" t="s">
        <v>2400</v>
      </c>
      <c r="E1073" s="73"/>
    </row>
    <row r="1074" spans="2:5">
      <c r="B1074" s="170" t="s">
        <v>2401</v>
      </c>
      <c r="C1074" s="69"/>
      <c r="D1074" s="70" t="s">
        <v>2402</v>
      </c>
      <c r="E1074" s="73"/>
    </row>
    <row r="1075" spans="2:5">
      <c r="B1075" s="170" t="s">
        <v>669</v>
      </c>
      <c r="C1075" s="69"/>
      <c r="D1075" s="70" t="s">
        <v>2403</v>
      </c>
      <c r="E1075" s="73"/>
    </row>
    <row r="1076" spans="2:5">
      <c r="B1076" s="170" t="s">
        <v>2404</v>
      </c>
      <c r="C1076" s="69"/>
      <c r="D1076" s="70" t="s">
        <v>2405</v>
      </c>
      <c r="E1076" s="73"/>
    </row>
    <row r="1077" spans="2:5">
      <c r="B1077" s="170" t="s">
        <v>2406</v>
      </c>
      <c r="C1077" s="69"/>
      <c r="D1077" s="70" t="s">
        <v>2407</v>
      </c>
      <c r="E1077" s="73"/>
    </row>
    <row r="1078" spans="2:5">
      <c r="B1078" s="170" t="s">
        <v>2410</v>
      </c>
      <c r="C1078" s="69"/>
      <c r="D1078" s="70" t="s">
        <v>2411</v>
      </c>
      <c r="E1078" s="73"/>
    </row>
    <row r="1079" spans="2:5">
      <c r="B1079" s="170" t="s">
        <v>2412</v>
      </c>
      <c r="C1079" s="69"/>
      <c r="D1079" s="70" t="s">
        <v>2413</v>
      </c>
      <c r="E1079" s="73"/>
    </row>
    <row r="1080" spans="2:5">
      <c r="B1080" s="170" t="s">
        <v>2416</v>
      </c>
      <c r="C1080" s="69"/>
      <c r="D1080" s="70" t="s">
        <v>2417</v>
      </c>
      <c r="E1080" s="73"/>
    </row>
    <row r="1081" spans="2:5">
      <c r="B1081" s="170" t="s">
        <v>2418</v>
      </c>
      <c r="C1081" s="69"/>
      <c r="D1081" s="70" t="s">
        <v>2419</v>
      </c>
      <c r="E1081" s="73"/>
    </row>
    <row r="1082" spans="2:5">
      <c r="B1082" s="170" t="s">
        <v>2420</v>
      </c>
      <c r="C1082" s="69"/>
      <c r="D1082" s="70" t="s">
        <v>2421</v>
      </c>
      <c r="E1082" s="73"/>
    </row>
    <row r="1083" spans="2:5">
      <c r="B1083" s="170" t="s">
        <v>1177</v>
      </c>
      <c r="C1083" s="69"/>
      <c r="D1083" s="70" t="s">
        <v>2422</v>
      </c>
      <c r="E1083" s="73"/>
    </row>
    <row r="1084" spans="2:5">
      <c r="B1084" s="170" t="s">
        <v>2489</v>
      </c>
      <c r="C1084" s="69"/>
      <c r="D1084" s="70" t="s">
        <v>2490</v>
      </c>
      <c r="E1084" s="73"/>
    </row>
    <row r="1085" spans="2:5">
      <c r="B1085" s="170" t="s">
        <v>2491</v>
      </c>
      <c r="C1085" s="69"/>
      <c r="D1085" s="70" t="s">
        <v>2492</v>
      </c>
      <c r="E1085" s="73"/>
    </row>
    <row r="1086" spans="2:5">
      <c r="B1086" s="170" t="s">
        <v>2495</v>
      </c>
      <c r="C1086" s="69"/>
      <c r="D1086" s="70" t="s">
        <v>2496</v>
      </c>
      <c r="E1086" s="73"/>
    </row>
    <row r="1087" spans="2:5">
      <c r="B1087" s="170" t="s">
        <v>2501</v>
      </c>
      <c r="C1087" s="69"/>
      <c r="D1087" s="70" t="s">
        <v>2502</v>
      </c>
      <c r="E1087" s="73"/>
    </row>
    <row r="1088" spans="2:5">
      <c r="B1088" s="170" t="s">
        <v>2503</v>
      </c>
      <c r="C1088" s="69"/>
      <c r="D1088" s="70" t="s">
        <v>2504</v>
      </c>
      <c r="E1088" s="73"/>
    </row>
    <row r="1089" spans="2:5">
      <c r="B1089" s="170" t="s">
        <v>2521</v>
      </c>
      <c r="C1089" s="69"/>
      <c r="D1089" s="70" t="s">
        <v>2522</v>
      </c>
      <c r="E1089" s="73"/>
    </row>
    <row r="1090" spans="2:5">
      <c r="B1090" s="170" t="s">
        <v>2523</v>
      </c>
      <c r="C1090" s="69"/>
      <c r="D1090" s="70" t="s">
        <v>2524</v>
      </c>
      <c r="E1090" s="73"/>
    </row>
    <row r="1091" spans="2:5">
      <c r="B1091" s="170" t="s">
        <v>2529</v>
      </c>
      <c r="C1091" s="69"/>
      <c r="D1091" s="70" t="s">
        <v>2530</v>
      </c>
      <c r="E1091" s="73"/>
    </row>
    <row r="1092" spans="2:5">
      <c r="B1092" s="170" t="s">
        <v>2531</v>
      </c>
      <c r="C1092" s="69"/>
      <c r="D1092" s="70" t="s">
        <v>2532</v>
      </c>
      <c r="E1092" s="73"/>
    </row>
    <row r="1093" spans="2:5">
      <c r="B1093" s="170" t="s">
        <v>2533</v>
      </c>
      <c r="C1093" s="69"/>
      <c r="D1093" s="70" t="s">
        <v>2534</v>
      </c>
      <c r="E1093" s="73"/>
    </row>
    <row r="1094" spans="2:5">
      <c r="B1094" s="170" t="s">
        <v>2544</v>
      </c>
      <c r="C1094" s="69"/>
      <c r="D1094" s="70" t="s">
        <v>2545</v>
      </c>
      <c r="E1094" s="73"/>
    </row>
    <row r="1095" spans="2:5">
      <c r="B1095" s="170" t="s">
        <v>2546</v>
      </c>
      <c r="C1095" s="69"/>
      <c r="D1095" s="70" t="s">
        <v>2547</v>
      </c>
      <c r="E1095" s="73"/>
    </row>
    <row r="1096" spans="2:5">
      <c r="B1096" s="170" t="s">
        <v>466</v>
      </c>
      <c r="C1096" s="69"/>
      <c r="D1096" s="70" t="s">
        <v>2548</v>
      </c>
      <c r="E1096" s="73"/>
    </row>
    <row r="1097" spans="2:5">
      <c r="B1097" s="170" t="s">
        <v>2566</v>
      </c>
      <c r="C1097" s="69"/>
      <c r="D1097" s="70" t="s">
        <v>2567</v>
      </c>
      <c r="E1097" s="73"/>
    </row>
    <row r="1098" spans="2:5">
      <c r="B1098" s="170" t="s">
        <v>2576</v>
      </c>
      <c r="C1098" s="69"/>
      <c r="D1098" s="70" t="s">
        <v>2577</v>
      </c>
      <c r="E1098" s="73"/>
    </row>
    <row r="1099" spans="2:5">
      <c r="B1099" s="170" t="s">
        <v>2578</v>
      </c>
      <c r="C1099" s="69"/>
      <c r="D1099" s="70" t="s">
        <v>2579</v>
      </c>
      <c r="E1099" s="73"/>
    </row>
    <row r="1100" spans="2:5">
      <c r="B1100" s="170" t="s">
        <v>2580</v>
      </c>
      <c r="C1100" s="69"/>
      <c r="D1100" s="70" t="s">
        <v>2581</v>
      </c>
      <c r="E1100" s="73"/>
    </row>
    <row r="1101" spans="2:5">
      <c r="B1101" s="170" t="s">
        <v>638</v>
      </c>
      <c r="C1101" s="69"/>
      <c r="D1101" s="70" t="s">
        <v>2582</v>
      </c>
      <c r="E1101" s="73"/>
    </row>
    <row r="1102" spans="2:5">
      <c r="B1102" s="170" t="s">
        <v>2583</v>
      </c>
      <c r="C1102" s="69"/>
      <c r="D1102" s="70" t="s">
        <v>2584</v>
      </c>
      <c r="E1102" s="73"/>
    </row>
    <row r="1103" spans="2:5">
      <c r="B1103" s="170" t="s">
        <v>2585</v>
      </c>
      <c r="C1103" s="69"/>
      <c r="D1103" s="70" t="s">
        <v>2586</v>
      </c>
      <c r="E1103" s="73"/>
    </row>
    <row r="1104" spans="2:5">
      <c r="B1104" s="170" t="s">
        <v>2595</v>
      </c>
      <c r="C1104" s="69"/>
      <c r="D1104" s="70" t="s">
        <v>2596</v>
      </c>
      <c r="E1104" s="73"/>
    </row>
    <row r="1105" spans="2:5">
      <c r="B1105" s="170" t="s">
        <v>2597</v>
      </c>
      <c r="C1105" s="69"/>
      <c r="D1105" s="70" t="s">
        <v>2598</v>
      </c>
      <c r="E1105" s="73"/>
    </row>
    <row r="1106" spans="2:5">
      <c r="B1106" s="170" t="s">
        <v>2599</v>
      </c>
      <c r="C1106" s="69"/>
      <c r="D1106" s="70" t="s">
        <v>2600</v>
      </c>
      <c r="E1106" s="73"/>
    </row>
    <row r="1107" spans="2:5">
      <c r="B1107" s="170" t="s">
        <v>2601</v>
      </c>
      <c r="C1107" s="69"/>
      <c r="D1107" s="70" t="s">
        <v>2602</v>
      </c>
      <c r="E1107" s="73"/>
    </row>
    <row r="1108" spans="2:5">
      <c r="B1108" s="170" t="s">
        <v>2605</v>
      </c>
      <c r="C1108" s="69"/>
      <c r="D1108" s="70" t="s">
        <v>2606</v>
      </c>
      <c r="E1108" s="73"/>
    </row>
    <row r="1109" spans="2:5">
      <c r="B1109" s="170" t="s">
        <v>2607</v>
      </c>
      <c r="C1109" s="69"/>
      <c r="D1109" s="70" t="s">
        <v>2608</v>
      </c>
      <c r="E1109" s="73"/>
    </row>
    <row r="1110" spans="2:5">
      <c r="B1110" s="170" t="s">
        <v>2611</v>
      </c>
      <c r="C1110" s="69"/>
      <c r="D1110" s="70" t="s">
        <v>2612</v>
      </c>
      <c r="E1110" s="73"/>
    </row>
    <row r="1111" spans="2:5">
      <c r="B1111" s="170" t="s">
        <v>2615</v>
      </c>
      <c r="C1111" s="69"/>
      <c r="D1111" s="70" t="s">
        <v>2616</v>
      </c>
      <c r="E1111" s="73"/>
    </row>
    <row r="1112" spans="2:5">
      <c r="B1112" s="170" t="s">
        <v>2617</v>
      </c>
      <c r="C1112" s="69"/>
      <c r="D1112" s="70" t="s">
        <v>2618</v>
      </c>
      <c r="E1112" s="73"/>
    </row>
    <row r="1113" spans="2:5">
      <c r="B1113" s="170" t="s">
        <v>2621</v>
      </c>
      <c r="C1113" s="69"/>
      <c r="D1113" s="70" t="s">
        <v>2622</v>
      </c>
      <c r="E1113" s="73"/>
    </row>
    <row r="1114" spans="2:5">
      <c r="B1114" s="170" t="s">
        <v>2623</v>
      </c>
      <c r="C1114" s="69"/>
      <c r="D1114" s="70" t="s">
        <v>2624</v>
      </c>
      <c r="E1114" s="73"/>
    </row>
    <row r="1115" spans="2:5">
      <c r="B1115" s="170" t="s">
        <v>2630</v>
      </c>
      <c r="C1115" s="69"/>
      <c r="D1115" s="70" t="s">
        <v>2631</v>
      </c>
      <c r="E1115" s="73"/>
    </row>
    <row r="1116" spans="2:5">
      <c r="B1116" s="170" t="s">
        <v>2636</v>
      </c>
      <c r="C1116" s="69"/>
      <c r="D1116" s="70" t="s">
        <v>2637</v>
      </c>
      <c r="E1116" s="73"/>
    </row>
    <row r="1117" spans="2:5">
      <c r="B1117" s="170" t="s">
        <v>2638</v>
      </c>
      <c r="C1117" s="69"/>
      <c r="D1117" s="70" t="s">
        <v>2639</v>
      </c>
      <c r="E1117" s="73"/>
    </row>
    <row r="1118" spans="2:5">
      <c r="B1118" s="170" t="s">
        <v>2646</v>
      </c>
      <c r="C1118" s="69"/>
      <c r="D1118" s="70" t="s">
        <v>2647</v>
      </c>
      <c r="E1118" s="73"/>
    </row>
    <row r="1119" spans="2:5">
      <c r="B1119" s="170" t="s">
        <v>2648</v>
      </c>
      <c r="C1119" s="69"/>
      <c r="D1119" s="70" t="s">
        <v>2649</v>
      </c>
      <c r="E1119" s="73"/>
    </row>
    <row r="1120" spans="2:5">
      <c r="B1120" s="170" t="s">
        <v>2652</v>
      </c>
      <c r="C1120" s="69"/>
      <c r="D1120" s="70" t="s">
        <v>2653</v>
      </c>
      <c r="E1120" s="73"/>
    </row>
    <row r="1121" spans="2:5">
      <c r="B1121" s="170" t="s">
        <v>2656</v>
      </c>
      <c r="C1121" s="69"/>
      <c r="D1121" s="70" t="s">
        <v>2657</v>
      </c>
      <c r="E1121" s="73"/>
    </row>
    <row r="1122" spans="2:5">
      <c r="B1122" s="170" t="s">
        <v>2658</v>
      </c>
      <c r="C1122" s="69"/>
      <c r="D1122" s="70" t="s">
        <v>2659</v>
      </c>
      <c r="E1122" s="73"/>
    </row>
    <row r="1123" spans="2:5">
      <c r="B1123" s="170" t="s">
        <v>2660</v>
      </c>
      <c r="C1123" s="69"/>
      <c r="D1123" s="70" t="s">
        <v>2661</v>
      </c>
      <c r="E1123" s="73"/>
    </row>
    <row r="1124" spans="2:5">
      <c r="B1124" s="170" t="s">
        <v>2662</v>
      </c>
      <c r="C1124" s="69"/>
      <c r="D1124" s="70" t="s">
        <v>2663</v>
      </c>
      <c r="E1124" s="73"/>
    </row>
    <row r="1125" spans="2:5">
      <c r="B1125" s="170" t="s">
        <v>2664</v>
      </c>
      <c r="C1125" s="69"/>
      <c r="D1125" s="70" t="s">
        <v>2665</v>
      </c>
      <c r="E1125" s="73"/>
    </row>
    <row r="1126" spans="2:5">
      <c r="B1126" s="170" t="s">
        <v>2668</v>
      </c>
      <c r="C1126" s="69"/>
      <c r="D1126" s="70" t="s">
        <v>2669</v>
      </c>
      <c r="E1126" s="73"/>
    </row>
    <row r="1127" spans="2:5">
      <c r="B1127" s="170" t="s">
        <v>1249</v>
      </c>
      <c r="C1127" s="69"/>
      <c r="D1127" s="70" t="s">
        <v>2672</v>
      </c>
      <c r="E1127" s="73"/>
    </row>
    <row r="1128" spans="2:5">
      <c r="B1128" s="170" t="s">
        <v>2673</v>
      </c>
      <c r="C1128" s="69"/>
      <c r="D1128" s="70" t="s">
        <v>2674</v>
      </c>
      <c r="E1128" s="73"/>
    </row>
    <row r="1129" spans="2:5">
      <c r="B1129" s="170" t="s">
        <v>2675</v>
      </c>
      <c r="C1129" s="69"/>
      <c r="D1129" s="70" t="s">
        <v>2676</v>
      </c>
      <c r="E1129" s="73"/>
    </row>
    <row r="1130" spans="2:5">
      <c r="B1130" s="170" t="s">
        <v>2680</v>
      </c>
      <c r="C1130" s="69"/>
      <c r="D1130" s="70" t="s">
        <v>2680</v>
      </c>
      <c r="E1130" s="73"/>
    </row>
    <row r="1131" spans="2:5">
      <c r="B1131" s="170" t="s">
        <v>2681</v>
      </c>
      <c r="C1131" s="69"/>
      <c r="D1131" s="70" t="s">
        <v>2682</v>
      </c>
      <c r="E1131" s="73"/>
    </row>
    <row r="1132" spans="2:5">
      <c r="B1132" s="170" t="s">
        <v>2685</v>
      </c>
      <c r="C1132" s="69"/>
      <c r="D1132" s="70" t="s">
        <v>2686</v>
      </c>
      <c r="E1132" s="73"/>
    </row>
    <row r="1133" spans="2:5">
      <c r="B1133" s="170" t="s">
        <v>2687</v>
      </c>
      <c r="C1133" s="69"/>
      <c r="D1133" s="70" t="s">
        <v>2688</v>
      </c>
      <c r="E1133" s="73"/>
    </row>
    <row r="1134" spans="2:5">
      <c r="B1134" s="170" t="s">
        <v>2689</v>
      </c>
      <c r="C1134" s="69"/>
      <c r="D1134" s="70" t="s">
        <v>2690</v>
      </c>
      <c r="E1134" s="73"/>
    </row>
    <row r="1135" spans="2:5">
      <c r="B1135" s="170" t="s">
        <v>2691</v>
      </c>
      <c r="C1135" s="69"/>
      <c r="D1135" s="70" t="s">
        <v>2692</v>
      </c>
      <c r="E1135" s="73"/>
    </row>
    <row r="1136" spans="2:5">
      <c r="B1136" s="170" t="s">
        <v>2693</v>
      </c>
      <c r="C1136" s="69"/>
      <c r="D1136" s="70" t="s">
        <v>2694</v>
      </c>
      <c r="E1136" s="73"/>
    </row>
    <row r="1137" spans="2:5">
      <c r="B1137" s="170" t="s">
        <v>2695</v>
      </c>
      <c r="C1137" s="69"/>
      <c r="D1137" s="70" t="s">
        <v>2696</v>
      </c>
      <c r="E1137" s="73"/>
    </row>
    <row r="1138" spans="2:5">
      <c r="B1138" s="170" t="s">
        <v>2697</v>
      </c>
      <c r="C1138" s="69"/>
      <c r="D1138" s="70" t="s">
        <v>2698</v>
      </c>
      <c r="E1138" s="73"/>
    </row>
    <row r="1139" spans="2:5">
      <c r="B1139" s="170" t="s">
        <v>2701</v>
      </c>
      <c r="C1139" s="69"/>
      <c r="D1139" s="70" t="s">
        <v>2702</v>
      </c>
      <c r="E1139" s="73"/>
    </row>
    <row r="1140" spans="2:5">
      <c r="B1140" s="170" t="s">
        <v>2706</v>
      </c>
      <c r="C1140" s="69"/>
      <c r="D1140" s="70" t="s">
        <v>2707</v>
      </c>
      <c r="E1140" s="73"/>
    </row>
    <row r="1141" spans="2:5">
      <c r="B1141" s="170" t="s">
        <v>2708</v>
      </c>
      <c r="C1141" s="69"/>
      <c r="D1141" s="70" t="s">
        <v>2709</v>
      </c>
      <c r="E1141" s="73"/>
    </row>
    <row r="1142" spans="2:5">
      <c r="B1142" s="170" t="s">
        <v>540</v>
      </c>
      <c r="C1142" s="69"/>
      <c r="D1142" s="70" t="s">
        <v>2710</v>
      </c>
      <c r="E1142" s="73"/>
    </row>
    <row r="1143" spans="2:5">
      <c r="B1143" s="170" t="s">
        <v>2711</v>
      </c>
      <c r="C1143" s="69"/>
      <c r="D1143" s="70" t="s">
        <v>2712</v>
      </c>
      <c r="E1143" s="73"/>
    </row>
    <row r="1144" spans="2:5">
      <c r="B1144" s="170" t="s">
        <v>2715</v>
      </c>
      <c r="C1144" s="69"/>
      <c r="D1144" s="70" t="s">
        <v>2716</v>
      </c>
      <c r="E1144" s="73"/>
    </row>
    <row r="1145" spans="2:5">
      <c r="B1145" s="170" t="s">
        <v>2717</v>
      </c>
      <c r="C1145" s="69"/>
      <c r="D1145" s="70" t="s">
        <v>2718</v>
      </c>
      <c r="E1145" s="73"/>
    </row>
    <row r="1146" spans="2:5">
      <c r="B1146" s="170" t="s">
        <v>2719</v>
      </c>
      <c r="C1146" s="69"/>
      <c r="D1146" s="70" t="s">
        <v>2720</v>
      </c>
      <c r="E1146" s="73"/>
    </row>
    <row r="1147" spans="2:5">
      <c r="B1147" s="170" t="s">
        <v>2721</v>
      </c>
      <c r="C1147" s="69"/>
      <c r="D1147" s="70" t="s">
        <v>2722</v>
      </c>
      <c r="E1147" s="73"/>
    </row>
    <row r="1148" spans="2:5">
      <c r="B1148" s="170" t="s">
        <v>2723</v>
      </c>
      <c r="C1148" s="69"/>
      <c r="D1148" s="70" t="s">
        <v>2724</v>
      </c>
      <c r="E1148" s="73"/>
    </row>
    <row r="1149" spans="2:5">
      <c r="B1149" s="170" t="s">
        <v>2725</v>
      </c>
      <c r="C1149" s="69"/>
      <c r="D1149" s="70" t="s">
        <v>2726</v>
      </c>
      <c r="E1149" s="73"/>
    </row>
    <row r="1150" spans="2:5">
      <c r="B1150" s="170" t="s">
        <v>2727</v>
      </c>
      <c r="C1150" s="69"/>
      <c r="D1150" s="70" t="s">
        <v>2728</v>
      </c>
      <c r="E1150" s="73"/>
    </row>
    <row r="1151" spans="2:5">
      <c r="B1151" s="170" t="s">
        <v>2729</v>
      </c>
      <c r="C1151" s="69"/>
      <c r="D1151" s="70" t="s">
        <v>2730</v>
      </c>
      <c r="E1151" s="73"/>
    </row>
    <row r="1152" spans="2:5">
      <c r="B1152" s="170" t="s">
        <v>2731</v>
      </c>
      <c r="C1152" s="69"/>
      <c r="D1152" s="70" t="s">
        <v>2732</v>
      </c>
      <c r="E1152" s="73"/>
    </row>
    <row r="1153" spans="2:5">
      <c r="B1153" s="170" t="s">
        <v>2733</v>
      </c>
      <c r="C1153" s="69"/>
      <c r="D1153" s="70" t="s">
        <v>2732</v>
      </c>
      <c r="E1153" s="73"/>
    </row>
    <row r="1154" spans="2:5">
      <c r="B1154" s="170" t="s">
        <v>2737</v>
      </c>
      <c r="C1154" s="69"/>
      <c r="D1154" s="70" t="s">
        <v>2738</v>
      </c>
      <c r="E1154" s="73"/>
    </row>
    <row r="1155" spans="2:5">
      <c r="B1155" s="170" t="s">
        <v>2739</v>
      </c>
      <c r="C1155" s="69"/>
      <c r="D1155" s="70" t="s">
        <v>2740</v>
      </c>
      <c r="E1155" s="73"/>
    </row>
    <row r="1156" spans="2:5">
      <c r="B1156" s="170" t="s">
        <v>2741</v>
      </c>
      <c r="C1156" s="69"/>
      <c r="D1156" s="70" t="s">
        <v>2742</v>
      </c>
      <c r="E1156" s="73"/>
    </row>
    <row r="1157" spans="2:5">
      <c r="B1157" s="170" t="s">
        <v>304</v>
      </c>
      <c r="C1157" s="69"/>
      <c r="D1157" s="70" t="s">
        <v>306</v>
      </c>
      <c r="E1157" s="73"/>
    </row>
    <row r="1158" spans="2:5">
      <c r="B1158" s="170" t="s">
        <v>2750</v>
      </c>
      <c r="C1158" s="69"/>
      <c r="D1158" s="70" t="s">
        <v>2751</v>
      </c>
      <c r="E1158" s="73"/>
    </row>
    <row r="1159" spans="2:5">
      <c r="B1159" s="170" t="s">
        <v>2752</v>
      </c>
      <c r="C1159" s="69"/>
      <c r="D1159" s="70" t="s">
        <v>2753</v>
      </c>
      <c r="E1159" s="73"/>
    </row>
    <row r="1160" spans="2:5">
      <c r="B1160" s="170" t="s">
        <v>2754</v>
      </c>
      <c r="C1160" s="69"/>
      <c r="D1160" s="70" t="s">
        <v>2755</v>
      </c>
      <c r="E1160" s="73"/>
    </row>
    <row r="1161" spans="2:5">
      <c r="B1161" s="170" t="s">
        <v>2756</v>
      </c>
      <c r="C1161" s="69"/>
      <c r="D1161" s="70" t="s">
        <v>2757</v>
      </c>
      <c r="E1161" s="73"/>
    </row>
    <row r="1162" spans="2:5">
      <c r="B1162" s="170" t="s">
        <v>2758</v>
      </c>
      <c r="C1162" s="69"/>
      <c r="D1162" s="70" t="s">
        <v>2759</v>
      </c>
      <c r="E1162" s="73"/>
    </row>
    <row r="1163" spans="2:5">
      <c r="B1163" s="170" t="s">
        <v>2768</v>
      </c>
      <c r="C1163" s="69"/>
      <c r="D1163" s="70" t="s">
        <v>2769</v>
      </c>
      <c r="E1163" s="73"/>
    </row>
    <row r="1164" spans="2:5">
      <c r="B1164" s="170" t="s">
        <v>2770</v>
      </c>
      <c r="C1164" s="69"/>
      <c r="D1164" s="70" t="s">
        <v>2771</v>
      </c>
      <c r="E1164" s="73"/>
    </row>
    <row r="1165" spans="2:5">
      <c r="B1165" s="170" t="s">
        <v>2774</v>
      </c>
      <c r="C1165" s="69"/>
      <c r="D1165" s="70" t="s">
        <v>2775</v>
      </c>
      <c r="E1165" s="73"/>
    </row>
    <row r="1166" spans="2:5">
      <c r="B1166" s="170" t="s">
        <v>2777</v>
      </c>
      <c r="C1166" s="69"/>
      <c r="D1166" s="70" t="s">
        <v>2778</v>
      </c>
      <c r="E1166" s="73"/>
    </row>
    <row r="1167" spans="2:5">
      <c r="B1167" s="170" t="s">
        <v>2781</v>
      </c>
      <c r="C1167" s="69"/>
      <c r="D1167" s="70" t="s">
        <v>2782</v>
      </c>
      <c r="E1167" s="73"/>
    </row>
    <row r="1168" spans="2:5">
      <c r="B1168" s="170" t="s">
        <v>2783</v>
      </c>
      <c r="C1168" s="69"/>
      <c r="D1168" s="70" t="s">
        <v>2784</v>
      </c>
      <c r="E1168" s="73"/>
    </row>
    <row r="1169" spans="2:5">
      <c r="B1169" s="170" t="s">
        <v>2785</v>
      </c>
      <c r="C1169" s="69"/>
      <c r="D1169" s="70" t="s">
        <v>2786</v>
      </c>
      <c r="E1169" s="73"/>
    </row>
    <row r="1170" spans="2:5">
      <c r="B1170" s="170" t="s">
        <v>2787</v>
      </c>
      <c r="C1170" s="69"/>
      <c r="D1170" s="70" t="s">
        <v>2788</v>
      </c>
      <c r="E1170" s="73"/>
    </row>
    <row r="1171" spans="2:5">
      <c r="B1171" s="170" t="s">
        <v>2789</v>
      </c>
      <c r="C1171" s="69"/>
      <c r="D1171" s="70" t="s">
        <v>2790</v>
      </c>
      <c r="E1171" s="73"/>
    </row>
    <row r="1172" spans="2:5">
      <c r="B1172" s="170" t="s">
        <v>2791</v>
      </c>
      <c r="C1172" s="69"/>
      <c r="D1172" s="70" t="s">
        <v>2792</v>
      </c>
      <c r="E1172" s="73"/>
    </row>
    <row r="1173" spans="2:5">
      <c r="B1173" s="170" t="s">
        <v>2793</v>
      </c>
      <c r="C1173" s="69"/>
      <c r="D1173" s="70" t="s">
        <v>2794</v>
      </c>
      <c r="E1173" s="73"/>
    </row>
    <row r="1174" spans="2:5">
      <c r="B1174" s="170" t="s">
        <v>2795</v>
      </c>
      <c r="C1174" s="69"/>
      <c r="D1174" s="70" t="s">
        <v>2796</v>
      </c>
      <c r="E1174" s="73"/>
    </row>
    <row r="1175" spans="2:5">
      <c r="B1175" s="170" t="s">
        <v>2799</v>
      </c>
      <c r="C1175" s="69"/>
      <c r="D1175" s="70" t="s">
        <v>2800</v>
      </c>
      <c r="E1175" s="73"/>
    </row>
    <row r="1176" spans="2:5">
      <c r="B1176" s="170" t="s">
        <v>2801</v>
      </c>
      <c r="C1176" s="69"/>
      <c r="D1176" s="70" t="s">
        <v>2802</v>
      </c>
      <c r="E1176" s="73"/>
    </row>
    <row r="1177" spans="2:5">
      <c r="B1177" s="170" t="s">
        <v>2805</v>
      </c>
      <c r="C1177" s="69"/>
      <c r="D1177" s="70" t="s">
        <v>2806</v>
      </c>
      <c r="E1177" s="73"/>
    </row>
    <row r="1178" spans="2:5">
      <c r="B1178" s="170" t="s">
        <v>2807</v>
      </c>
      <c r="C1178" s="69"/>
      <c r="D1178" s="70" t="s">
        <v>2808</v>
      </c>
      <c r="E1178" s="73"/>
    </row>
    <row r="1179" spans="2:5">
      <c r="B1179" s="170" t="s">
        <v>2809</v>
      </c>
      <c r="C1179" s="69"/>
      <c r="D1179" s="70" t="s">
        <v>2810</v>
      </c>
      <c r="E1179" s="73"/>
    </row>
    <row r="1180" spans="2:5">
      <c r="B1180" s="170" t="s">
        <v>2811</v>
      </c>
      <c r="C1180" s="69"/>
      <c r="D1180" s="70" t="s">
        <v>2812</v>
      </c>
      <c r="E1180" s="73"/>
    </row>
    <row r="1181" spans="2:5">
      <c r="B1181" s="170" t="s">
        <v>2813</v>
      </c>
      <c r="C1181" s="69"/>
      <c r="D1181" s="70" t="s">
        <v>2814</v>
      </c>
      <c r="E1181" s="73"/>
    </row>
    <row r="1182" spans="2:5">
      <c r="B1182" s="170" t="s">
        <v>2815</v>
      </c>
      <c r="C1182" s="69"/>
      <c r="D1182" s="73" t="s">
        <v>2816</v>
      </c>
      <c r="E1182" s="73"/>
    </row>
    <row r="1183" spans="2:5">
      <c r="B1183" s="170" t="s">
        <v>2817</v>
      </c>
      <c r="C1183" s="69"/>
      <c r="D1183" s="73" t="s">
        <v>2818</v>
      </c>
      <c r="E1183" s="73"/>
    </row>
    <row r="1184" spans="2:5">
      <c r="B1184" s="170" t="s">
        <v>2819</v>
      </c>
      <c r="C1184" s="69"/>
      <c r="D1184" s="73" t="s">
        <v>2820</v>
      </c>
      <c r="E1184" s="73"/>
    </row>
    <row r="1185" spans="2:5">
      <c r="B1185" s="170" t="s">
        <v>2821</v>
      </c>
      <c r="C1185" s="69"/>
      <c r="D1185" s="73" t="s">
        <v>2822</v>
      </c>
      <c r="E1185" s="73"/>
    </row>
    <row r="1186" spans="2:5">
      <c r="B1186" s="170" t="s">
        <v>2823</v>
      </c>
      <c r="C1186" s="69"/>
      <c r="D1186" s="73" t="s">
        <v>2824</v>
      </c>
      <c r="E1186" s="73"/>
    </row>
    <row r="1187" spans="2:5">
      <c r="B1187" s="170" t="s">
        <v>2825</v>
      </c>
      <c r="C1187" s="69"/>
      <c r="D1187" s="73" t="s">
        <v>2826</v>
      </c>
      <c r="E1187" s="73"/>
    </row>
    <row r="1188" spans="2:5">
      <c r="B1188" s="170" t="s">
        <v>2819</v>
      </c>
      <c r="C1188" s="69"/>
      <c r="D1188" s="73" t="s">
        <v>2820</v>
      </c>
      <c r="E1188" s="73"/>
    </row>
    <row r="1189" spans="2:5">
      <c r="B1189" s="170" t="s">
        <v>2827</v>
      </c>
      <c r="C1189" s="69"/>
      <c r="D1189" s="73" t="s">
        <v>2828</v>
      </c>
      <c r="E1189" s="73"/>
    </row>
    <row r="1190" spans="2:5">
      <c r="B1190" s="170" t="s">
        <v>2829</v>
      </c>
      <c r="C1190" s="69"/>
      <c r="D1190" s="73" t="s">
        <v>2830</v>
      </c>
      <c r="E1190" s="73"/>
    </row>
    <row r="1191" spans="2:5">
      <c r="B1191" s="170" t="s">
        <v>2831</v>
      </c>
      <c r="C1191" s="69"/>
      <c r="D1191" s="73" t="s">
        <v>2832</v>
      </c>
      <c r="E1191" s="73"/>
    </row>
    <row r="1192" spans="2:5">
      <c r="B1192" s="170" t="s">
        <v>2833</v>
      </c>
      <c r="C1192" s="69"/>
      <c r="D1192" s="73" t="s">
        <v>2834</v>
      </c>
      <c r="E1192" s="73"/>
    </row>
    <row r="1193" spans="2:5">
      <c r="B1193" s="170" t="s">
        <v>2835</v>
      </c>
      <c r="C1193" s="69"/>
      <c r="D1193" s="73" t="s">
        <v>2836</v>
      </c>
      <c r="E1193" s="73"/>
    </row>
    <row r="1194" spans="2:5">
      <c r="B1194" s="170" t="s">
        <v>2825</v>
      </c>
      <c r="C1194" s="69"/>
      <c r="D1194" s="73" t="s">
        <v>2826</v>
      </c>
      <c r="E1194" s="73"/>
    </row>
    <row r="1195" spans="2:5">
      <c r="B1195" s="170" t="s">
        <v>2837</v>
      </c>
      <c r="C1195" s="69"/>
      <c r="D1195" s="73" t="s">
        <v>2838</v>
      </c>
      <c r="E1195" s="73"/>
    </row>
    <row r="1196" spans="2:5">
      <c r="B1196" s="170" t="s">
        <v>2835</v>
      </c>
      <c r="C1196" s="69"/>
      <c r="D1196" s="73" t="s">
        <v>2836</v>
      </c>
      <c r="E1196" s="73"/>
    </row>
    <row r="1197" spans="2:5">
      <c r="B1197" s="170" t="s">
        <v>2839</v>
      </c>
      <c r="C1197" s="69"/>
      <c r="D1197" s="73" t="s">
        <v>2840</v>
      </c>
      <c r="E1197" s="73"/>
    </row>
    <row r="1198" spans="2:5">
      <c r="B1198" s="170" t="s">
        <v>2841</v>
      </c>
      <c r="C1198" s="69"/>
      <c r="D1198" s="73" t="s">
        <v>2842</v>
      </c>
      <c r="E1198" s="73"/>
    </row>
    <row r="1199" spans="2:5">
      <c r="B1199" s="170" t="s">
        <v>2841</v>
      </c>
      <c r="C1199" s="69"/>
      <c r="D1199" s="73" t="s">
        <v>2842</v>
      </c>
      <c r="E1199" s="73"/>
    </row>
    <row r="1200" spans="2:5">
      <c r="B1200" s="170" t="s">
        <v>2843</v>
      </c>
      <c r="C1200" s="69"/>
      <c r="D1200" s="73" t="s">
        <v>2844</v>
      </c>
      <c r="E1200" s="73"/>
    </row>
    <row r="1201" spans="2:5">
      <c r="B1201" s="170" t="s">
        <v>2837</v>
      </c>
      <c r="C1201" s="69"/>
      <c r="D1201" s="73" t="s">
        <v>2838</v>
      </c>
      <c r="E1201" s="73"/>
    </row>
    <row r="1202" spans="2:5">
      <c r="B1202" s="170" t="s">
        <v>2845</v>
      </c>
      <c r="C1202" s="69"/>
      <c r="D1202" s="73" t="s">
        <v>2846</v>
      </c>
      <c r="E1202" s="73"/>
    </row>
    <row r="1203" spans="2:5">
      <c r="B1203" s="170" t="s">
        <v>2839</v>
      </c>
      <c r="C1203" s="69"/>
      <c r="D1203" s="73" t="s">
        <v>2840</v>
      </c>
      <c r="E1203" s="73"/>
    </row>
    <row r="1204" spans="2:5">
      <c r="B1204" s="170" t="s">
        <v>2845</v>
      </c>
      <c r="C1204" s="69"/>
      <c r="D1204" s="73" t="s">
        <v>2846</v>
      </c>
      <c r="E1204" s="73"/>
    </row>
    <row r="1205" spans="2:5">
      <c r="B1205" s="170" t="s">
        <v>2847</v>
      </c>
      <c r="C1205" s="69"/>
      <c r="D1205" s="73" t="s">
        <v>2848</v>
      </c>
      <c r="E1205" s="73"/>
    </row>
    <row r="1206" spans="2:5">
      <c r="B1206" s="170" t="s">
        <v>2825</v>
      </c>
      <c r="C1206" s="69"/>
      <c r="D1206" s="73" t="s">
        <v>2826</v>
      </c>
      <c r="E1206" s="73"/>
    </row>
    <row r="1207" spans="2:5">
      <c r="B1207" s="170" t="s">
        <v>2849</v>
      </c>
      <c r="C1207" s="69"/>
      <c r="D1207" s="73" t="s">
        <v>2850</v>
      </c>
      <c r="E1207" s="73"/>
    </row>
    <row r="1208" spans="2:5">
      <c r="B1208" s="170" t="s">
        <v>2843</v>
      </c>
      <c r="C1208" s="69"/>
      <c r="D1208" s="73" t="s">
        <v>2844</v>
      </c>
      <c r="E1208" s="73"/>
    </row>
    <row r="1209" spans="2:5">
      <c r="B1209" s="170" t="s">
        <v>2829</v>
      </c>
      <c r="C1209" s="69"/>
      <c r="D1209" s="73" t="s">
        <v>2830</v>
      </c>
      <c r="E1209" s="73"/>
    </row>
    <row r="1210" spans="2:5">
      <c r="B1210" s="170" t="s">
        <v>2835</v>
      </c>
      <c r="C1210" s="69"/>
      <c r="D1210" s="73" t="s">
        <v>2836</v>
      </c>
      <c r="E1210" s="73"/>
    </row>
    <row r="1211" spans="2:5">
      <c r="B1211" s="170" t="s">
        <v>2837</v>
      </c>
      <c r="C1211" s="69"/>
      <c r="D1211" s="73" t="s">
        <v>2838</v>
      </c>
      <c r="E1211" s="73"/>
    </row>
    <row r="1212" spans="2:5">
      <c r="B1212" s="170" t="s">
        <v>2841</v>
      </c>
      <c r="C1212" s="69"/>
      <c r="D1212" s="73" t="s">
        <v>2842</v>
      </c>
      <c r="E1212" s="73"/>
    </row>
    <row r="1213" spans="2:5">
      <c r="B1213" s="170" t="s">
        <v>2839</v>
      </c>
      <c r="C1213" s="69"/>
      <c r="D1213" s="73" t="s">
        <v>2840</v>
      </c>
      <c r="E1213" s="73"/>
    </row>
    <row r="1214" spans="2:5">
      <c r="B1214" s="170" t="s">
        <v>2851</v>
      </c>
      <c r="C1214" s="69"/>
      <c r="D1214" s="73" t="s">
        <v>2852</v>
      </c>
      <c r="E1214" s="73"/>
    </row>
    <row r="1215" spans="2:5">
      <c r="B1215" s="170" t="s">
        <v>2853</v>
      </c>
      <c r="C1215" s="69"/>
      <c r="D1215" s="73" t="s">
        <v>2854</v>
      </c>
      <c r="E1215" s="73"/>
    </row>
    <row r="1216" spans="2:5">
      <c r="B1216" s="170" t="s">
        <v>2855</v>
      </c>
      <c r="C1216" s="69"/>
      <c r="D1216" s="73" t="s">
        <v>2856</v>
      </c>
      <c r="E1216" s="73"/>
    </row>
    <row r="1217" spans="2:5">
      <c r="B1217" s="170" t="s">
        <v>2857</v>
      </c>
      <c r="C1217" s="69"/>
      <c r="D1217" s="70" t="s">
        <v>2858</v>
      </c>
      <c r="E1217" s="73"/>
    </row>
    <row r="1218" spans="2:5">
      <c r="B1218" s="170" t="s">
        <v>1464</v>
      </c>
      <c r="C1218" s="69"/>
      <c r="D1218" s="70" t="s">
        <v>2859</v>
      </c>
      <c r="E1218" s="73"/>
    </row>
    <row r="1219" spans="2:5">
      <c r="B1219" s="170" t="s">
        <v>2860</v>
      </c>
      <c r="C1219" s="69"/>
      <c r="D1219" s="70" t="s">
        <v>2861</v>
      </c>
      <c r="E1219" s="73"/>
    </row>
    <row r="1220" spans="2:5">
      <c r="B1220" s="170" t="s">
        <v>2862</v>
      </c>
      <c r="C1220" s="69"/>
      <c r="D1220" s="70" t="s">
        <v>2863</v>
      </c>
      <c r="E1220" s="73"/>
    </row>
    <row r="1221" spans="2:5">
      <c r="B1221" s="170" t="s">
        <v>2864</v>
      </c>
      <c r="C1221" s="69"/>
      <c r="D1221" s="70" t="s">
        <v>2865</v>
      </c>
      <c r="E1221" s="73"/>
    </row>
    <row r="1222" spans="2:5">
      <c r="B1222" s="170" t="s">
        <v>2866</v>
      </c>
      <c r="C1222" s="69"/>
      <c r="D1222" s="70" t="s">
        <v>2867</v>
      </c>
      <c r="E1222" s="73"/>
    </row>
    <row r="1223" spans="2:5">
      <c r="B1223" s="170" t="s">
        <v>2868</v>
      </c>
      <c r="C1223" s="69"/>
      <c r="D1223" s="70" t="s">
        <v>2869</v>
      </c>
      <c r="E1223" s="73"/>
    </row>
    <row r="1224" spans="2:5">
      <c r="B1224" s="170" t="s">
        <v>2870</v>
      </c>
      <c r="C1224" s="69"/>
      <c r="D1224" s="70" t="s">
        <v>2871</v>
      </c>
      <c r="E1224" s="73"/>
    </row>
    <row r="1225" spans="2:5">
      <c r="B1225" s="170" t="s">
        <v>2872</v>
      </c>
      <c r="C1225" s="69"/>
      <c r="D1225" s="70" t="s">
        <v>2873</v>
      </c>
      <c r="E1225" s="73"/>
    </row>
    <row r="1226" spans="2:5">
      <c r="B1226" s="170" t="s">
        <v>2876</v>
      </c>
      <c r="C1226" s="69"/>
      <c r="D1226" s="70" t="s">
        <v>2877</v>
      </c>
      <c r="E1226" s="73"/>
    </row>
    <row r="1227" spans="2:5">
      <c r="B1227" s="170" t="s">
        <v>2878</v>
      </c>
      <c r="C1227" s="69"/>
      <c r="D1227" s="70" t="s">
        <v>2879</v>
      </c>
      <c r="E1227" s="73"/>
    </row>
    <row r="1228" spans="2:5">
      <c r="B1228" s="170" t="s">
        <v>2880</v>
      </c>
      <c r="C1228" s="69"/>
      <c r="D1228" s="70" t="s">
        <v>2881</v>
      </c>
      <c r="E1228" s="73"/>
    </row>
    <row r="1229" spans="2:5">
      <c r="B1229" s="170" t="s">
        <v>2882</v>
      </c>
      <c r="C1229" s="69"/>
      <c r="D1229" s="70" t="s">
        <v>2883</v>
      </c>
      <c r="E1229" s="73"/>
    </row>
    <row r="1230" spans="2:5">
      <c r="B1230" s="170" t="s">
        <v>2884</v>
      </c>
      <c r="C1230" s="69"/>
      <c r="D1230" s="70" t="s">
        <v>2885</v>
      </c>
      <c r="E1230" s="73"/>
    </row>
    <row r="1231" spans="2:5">
      <c r="B1231" s="170" t="s">
        <v>2887</v>
      </c>
      <c r="C1231" s="69"/>
      <c r="D1231" s="70" t="s">
        <v>2888</v>
      </c>
      <c r="E1231" s="73"/>
    </row>
    <row r="1232" spans="2:5" ht="25.5">
      <c r="B1232" s="170" t="s">
        <v>2889</v>
      </c>
      <c r="C1232" s="69"/>
      <c r="D1232" s="70" t="s">
        <v>2890</v>
      </c>
      <c r="E1232" s="73"/>
    </row>
    <row r="1233" spans="2:5">
      <c r="B1233" s="170" t="s">
        <v>2891</v>
      </c>
      <c r="C1233" s="69"/>
      <c r="D1233" s="70" t="s">
        <v>2892</v>
      </c>
      <c r="E1233" s="73"/>
    </row>
    <row r="1234" spans="2:5">
      <c r="B1234" s="170" t="s">
        <v>2893</v>
      </c>
      <c r="C1234" s="69"/>
      <c r="D1234" s="70" t="s">
        <v>2894</v>
      </c>
      <c r="E1234" s="73"/>
    </row>
    <row r="1235" spans="2:5">
      <c r="B1235" s="170" t="s">
        <v>2895</v>
      </c>
      <c r="C1235" s="69"/>
      <c r="D1235" s="70" t="s">
        <v>2896</v>
      </c>
      <c r="E1235" s="73"/>
    </row>
    <row r="1236" spans="2:5">
      <c r="B1236" s="170" t="s">
        <v>2897</v>
      </c>
      <c r="C1236" s="69"/>
      <c r="D1236" s="70" t="s">
        <v>2898</v>
      </c>
      <c r="E1236" s="73"/>
    </row>
    <row r="1237" spans="2:5">
      <c r="B1237" s="170" t="s">
        <v>2899</v>
      </c>
      <c r="C1237" s="69"/>
      <c r="D1237" s="70" t="s">
        <v>2900</v>
      </c>
      <c r="E1237" s="73"/>
    </row>
    <row r="1238" spans="2:5">
      <c r="B1238" s="170" t="s">
        <v>2901</v>
      </c>
      <c r="C1238" s="69"/>
      <c r="D1238" s="70" t="s">
        <v>2902</v>
      </c>
      <c r="E1238" s="73"/>
    </row>
    <row r="1239" spans="2:5">
      <c r="B1239" s="90" t="str">
        <f>"RO "&amp;LEFT(Year,4)&amp;"-"&amp;RIGHT(Year,2)</f>
        <v>RO 2024-25</v>
      </c>
      <c r="C1239" s="69"/>
      <c r="D1239" s="76" t="str">
        <f>"RO "&amp;LEFT(Year,4)&amp;"-"&amp;RIGHT(Year,2)</f>
        <v>RO 2024-25</v>
      </c>
      <c r="E1239" s="73"/>
    </row>
    <row r="1240" spans="2:5">
      <c r="B1240" s="170" t="s">
        <v>2903</v>
      </c>
      <c r="C1240" s="69"/>
      <c r="D1240" s="73" t="s">
        <v>2903</v>
      </c>
      <c r="E1240" s="73"/>
    </row>
    <row r="1241" spans="2:5">
      <c r="B1241" s="170" t="s">
        <v>646</v>
      </c>
      <c r="C1241" s="69"/>
      <c r="D1241" s="70" t="s">
        <v>2904</v>
      </c>
      <c r="E1241" s="73"/>
    </row>
    <row r="1242" spans="2:5">
      <c r="B1242" s="170" t="s">
        <v>804</v>
      </c>
      <c r="C1242" s="69"/>
      <c r="D1242" s="70" t="s">
        <v>2905</v>
      </c>
      <c r="E1242" s="73"/>
    </row>
    <row r="1243" spans="2:5">
      <c r="B1243" s="170" t="s">
        <v>650</v>
      </c>
      <c r="C1243" s="69"/>
      <c r="D1243" s="70" t="s">
        <v>2906</v>
      </c>
      <c r="E1243" s="73"/>
    </row>
    <row r="1244" spans="2:5" ht="25.5">
      <c r="B1244" s="170" t="s">
        <v>789</v>
      </c>
      <c r="C1244" s="69"/>
      <c r="D1244" s="70" t="s">
        <v>2907</v>
      </c>
      <c r="E1244" s="73"/>
    </row>
    <row r="1245" spans="2:5">
      <c r="B1245" s="170" t="s">
        <v>1424</v>
      </c>
      <c r="C1245" s="69"/>
      <c r="D1245" s="70" t="s">
        <v>2908</v>
      </c>
      <c r="E1245" s="73"/>
    </row>
    <row r="1246" spans="2:5">
      <c r="B1246" s="170" t="s">
        <v>779</v>
      </c>
      <c r="C1246" s="69"/>
      <c r="D1246" s="70" t="s">
        <v>2909</v>
      </c>
      <c r="E1246" s="73"/>
    </row>
    <row r="1247" spans="2:5">
      <c r="B1247" s="170" t="s">
        <v>1226</v>
      </c>
      <c r="C1247" s="69"/>
      <c r="D1247" s="70" t="s">
        <v>2910</v>
      </c>
      <c r="E1247" s="73"/>
    </row>
    <row r="1248" spans="2:5">
      <c r="B1248" s="170" t="s">
        <v>1275</v>
      </c>
      <c r="C1248" s="69"/>
      <c r="D1248" s="70" t="s">
        <v>2911</v>
      </c>
      <c r="E1248" s="73"/>
    </row>
    <row r="1249" spans="2:5" ht="25.5">
      <c r="B1249" s="170" t="s">
        <v>1196</v>
      </c>
      <c r="C1249" s="69"/>
      <c r="D1249" s="70" t="s">
        <v>2912</v>
      </c>
      <c r="E1249" s="73"/>
    </row>
    <row r="1250" spans="2:5">
      <c r="B1250" s="170" t="s">
        <v>1382</v>
      </c>
      <c r="C1250" s="69"/>
      <c r="D1250" s="70" t="s">
        <v>2913</v>
      </c>
      <c r="E1250" s="73"/>
    </row>
    <row r="1251" spans="2:5">
      <c r="B1251" s="170" t="s">
        <v>931</v>
      </c>
      <c r="C1251" s="69"/>
      <c r="D1251" s="70" t="s">
        <v>2914</v>
      </c>
      <c r="E1251" s="73"/>
    </row>
    <row r="1252" spans="2:5">
      <c r="B1252" s="170" t="s">
        <v>2915</v>
      </c>
      <c r="C1252" s="69"/>
      <c r="D1252" s="70" t="s">
        <v>2916</v>
      </c>
      <c r="E1252" s="73"/>
    </row>
    <row r="1253" spans="2:5">
      <c r="B1253" s="170" t="s">
        <v>2917</v>
      </c>
      <c r="C1253" s="69"/>
      <c r="D1253" s="70" t="s">
        <v>2918</v>
      </c>
      <c r="E1253" s="73"/>
    </row>
    <row r="1254" spans="2:5">
      <c r="B1254" s="170" t="s">
        <v>1429</v>
      </c>
      <c r="C1254" s="69"/>
      <c r="D1254" s="70" t="s">
        <v>2919</v>
      </c>
      <c r="E1254" s="73"/>
    </row>
    <row r="1255" spans="2:5" ht="25.5">
      <c r="B1255" s="171" t="s">
        <v>2920</v>
      </c>
      <c r="C1255" s="69"/>
      <c r="D1255" s="73"/>
      <c r="E1255" s="73"/>
    </row>
    <row r="1256" spans="2:5">
      <c r="B1256" s="170" t="s">
        <v>2921</v>
      </c>
      <c r="C1256" s="69"/>
      <c r="D1256" s="73" t="s">
        <v>2922</v>
      </c>
      <c r="E1256" s="73"/>
    </row>
    <row r="1257" spans="2:5">
      <c r="B1257" s="170" t="s">
        <v>2925</v>
      </c>
      <c r="C1257" s="69"/>
      <c r="D1257" s="73" t="s">
        <v>2926</v>
      </c>
      <c r="E1257" s="73"/>
    </row>
    <row r="1258" spans="2:5" ht="38.25">
      <c r="B1258" s="90" t="s">
        <v>2929</v>
      </c>
      <c r="C1258" s="69"/>
      <c r="D1258" s="90" t="s">
        <v>2930</v>
      </c>
      <c r="E1258" s="73"/>
    </row>
    <row r="1259" spans="2:5">
      <c r="B1259" s="90" t="s">
        <v>2931</v>
      </c>
      <c r="C1259" s="69"/>
      <c r="D1259" s="90" t="s">
        <v>2932</v>
      </c>
      <c r="E1259" s="73"/>
    </row>
    <row r="1260" spans="2:5" ht="25.5">
      <c r="B1260" s="170" t="s">
        <v>2933</v>
      </c>
      <c r="C1260" s="69"/>
      <c r="D1260" s="170" t="s">
        <v>2934</v>
      </c>
      <c r="E1260" s="73"/>
    </row>
    <row r="1261" spans="2:5">
      <c r="B1261" s="170" t="s">
        <v>2935</v>
      </c>
      <c r="C1261" s="69"/>
      <c r="D1261" s="73" t="s">
        <v>2936</v>
      </c>
      <c r="E1261" s="73"/>
    </row>
    <row r="1262" spans="2:5">
      <c r="B1262" s="170" t="s">
        <v>2937</v>
      </c>
      <c r="C1262" s="69"/>
      <c r="D1262" s="73" t="s">
        <v>2938</v>
      </c>
      <c r="E1262" s="73"/>
    </row>
    <row r="1263" spans="2:5">
      <c r="B1263" s="170" t="s">
        <v>2939</v>
      </c>
      <c r="C1263" s="69"/>
      <c r="D1263" s="73"/>
      <c r="E1263" s="73"/>
    </row>
    <row r="1264" spans="2:5">
      <c r="B1264" s="170" t="s">
        <v>111</v>
      </c>
      <c r="C1264" s="69"/>
      <c r="D1264" s="73"/>
      <c r="E1264" s="73"/>
    </row>
    <row r="1265" spans="2:5">
      <c r="B1265" s="170" t="s">
        <v>112</v>
      </c>
      <c r="C1265" s="69"/>
      <c r="D1265" s="73"/>
      <c r="E1265" s="73"/>
    </row>
    <row r="1266" spans="2:5">
      <c r="B1266" s="170" t="s">
        <v>46</v>
      </c>
      <c r="C1266" s="69"/>
      <c r="D1266" s="73"/>
      <c r="E1266" s="73"/>
    </row>
    <row r="1267" spans="2:5">
      <c r="B1267" s="170" t="s">
        <v>113</v>
      </c>
      <c r="C1267" s="69"/>
      <c r="D1267" s="73"/>
      <c r="E1267" s="73"/>
    </row>
    <row r="1268" spans="2:5">
      <c r="B1268" s="170" t="s">
        <v>2941</v>
      </c>
      <c r="C1268" s="69"/>
      <c r="D1268" s="73" t="s">
        <v>2942</v>
      </c>
      <c r="E1268" s="73"/>
    </row>
    <row r="1269" spans="2:5">
      <c r="B1269" s="170" t="s">
        <v>2944</v>
      </c>
      <c r="C1269" s="69"/>
      <c r="D1269" s="73" t="s">
        <v>2945</v>
      </c>
      <c r="E1269" s="73"/>
    </row>
    <row r="1270" spans="2:5">
      <c r="B1270" s="170" t="s">
        <v>2946</v>
      </c>
      <c r="C1270" s="69"/>
      <c r="D1270" s="73" t="s">
        <v>2947</v>
      </c>
      <c r="E1270" s="73"/>
    </row>
    <row r="1271" spans="2:5">
      <c r="B1271" s="170" t="s">
        <v>2948</v>
      </c>
      <c r="C1271" s="69"/>
      <c r="D1271" s="73" t="s">
        <v>2949</v>
      </c>
      <c r="E1271" s="73"/>
    </row>
    <row r="1272" spans="2:5">
      <c r="B1272" s="170" t="s">
        <v>2950</v>
      </c>
      <c r="C1272" s="69"/>
      <c r="D1272" s="73" t="s">
        <v>2951</v>
      </c>
      <c r="E1272" s="73"/>
    </row>
    <row r="1273" spans="2:5">
      <c r="B1273" s="170" t="s">
        <v>2952</v>
      </c>
      <c r="C1273" s="69"/>
      <c r="D1273" s="73" t="s">
        <v>2953</v>
      </c>
      <c r="E1273" s="73"/>
    </row>
    <row r="1274" spans="2:5">
      <c r="B1274" s="170" t="s">
        <v>2954</v>
      </c>
      <c r="C1274" s="69"/>
      <c r="D1274" s="73" t="s">
        <v>2955</v>
      </c>
      <c r="E1274" s="73"/>
    </row>
    <row r="1275" spans="2:5">
      <c r="B1275" s="170" t="s">
        <v>2956</v>
      </c>
      <c r="C1275" s="69"/>
      <c r="D1275" s="73" t="s">
        <v>2957</v>
      </c>
      <c r="E1275" s="73"/>
    </row>
    <row r="1276" spans="2:5">
      <c r="B1276" s="170" t="s">
        <v>2958</v>
      </c>
      <c r="C1276" s="69"/>
      <c r="D1276" s="73" t="s">
        <v>2959</v>
      </c>
      <c r="E1276" s="73"/>
    </row>
    <row r="1277" spans="2:5">
      <c r="B1277" s="170" t="s">
        <v>2960</v>
      </c>
      <c r="C1277" s="69"/>
      <c r="D1277" s="73" t="s">
        <v>2961</v>
      </c>
      <c r="E1277" s="73"/>
    </row>
    <row r="1278" spans="2:5">
      <c r="B1278" s="170" t="s">
        <v>2962</v>
      </c>
      <c r="C1278" s="69"/>
      <c r="D1278" s="73" t="s">
        <v>2963</v>
      </c>
      <c r="E1278" s="73"/>
    </row>
    <row r="1279" spans="2:5">
      <c r="B1279" s="170" t="s">
        <v>2964</v>
      </c>
      <c r="C1279" s="69"/>
      <c r="D1279" s="73" t="s">
        <v>2965</v>
      </c>
      <c r="E1279" s="73"/>
    </row>
    <row r="1280" spans="2:5">
      <c r="B1280" s="170" t="s">
        <v>2966</v>
      </c>
      <c r="C1280" s="69"/>
      <c r="D1280" s="73" t="s">
        <v>2967</v>
      </c>
      <c r="E1280" s="73"/>
    </row>
    <row r="1281" spans="2:5">
      <c r="B1281" s="170" t="s">
        <v>2968</v>
      </c>
      <c r="C1281" s="69"/>
      <c r="D1281" s="73" t="s">
        <v>2968</v>
      </c>
      <c r="E1281" s="73"/>
    </row>
    <row r="1282" spans="2:5">
      <c r="B1282" s="170" t="s">
        <v>1148</v>
      </c>
      <c r="C1282" s="69"/>
      <c r="D1282" s="73" t="s">
        <v>2969</v>
      </c>
      <c r="E1282" s="73"/>
    </row>
    <row r="1283" spans="2:5">
      <c r="B1283" s="170" t="s">
        <v>2970</v>
      </c>
      <c r="C1283" s="69"/>
      <c r="D1283" s="73" t="s">
        <v>2971</v>
      </c>
      <c r="E1283" s="73"/>
    </row>
    <row r="1284" spans="2:5">
      <c r="B1284" s="170" t="s">
        <v>2972</v>
      </c>
      <c r="C1284" s="69"/>
      <c r="D1284" s="73" t="s">
        <v>2973</v>
      </c>
      <c r="E1284" s="73"/>
    </row>
    <row r="1285" spans="2:5">
      <c r="B1285" s="170" t="s">
        <v>2974</v>
      </c>
      <c r="C1285" s="69"/>
      <c r="D1285" s="73" t="s">
        <v>2975</v>
      </c>
      <c r="E1285" s="73"/>
    </row>
    <row r="1286" spans="2:5" ht="25.5">
      <c r="B1286" s="90" t="s">
        <v>2976</v>
      </c>
      <c r="C1286" s="69"/>
      <c r="D1286" s="73" t="s">
        <v>2977</v>
      </c>
      <c r="E1286" s="73"/>
    </row>
    <row r="1287" spans="2:5">
      <c r="B1287" s="73" t="s">
        <v>2978</v>
      </c>
      <c r="C1287" s="69"/>
      <c r="D1287" s="73" t="s">
        <v>2979</v>
      </c>
      <c r="E1287" s="73"/>
    </row>
    <row r="1288" spans="2:5">
      <c r="B1288" s="73" t="s">
        <v>2980</v>
      </c>
      <c r="C1288" s="69"/>
      <c r="D1288" s="73" t="s">
        <v>2981</v>
      </c>
      <c r="E1288" s="73"/>
    </row>
    <row r="1289" spans="2:5">
      <c r="B1289" s="73" t="s">
        <v>2982</v>
      </c>
      <c r="C1289" s="69"/>
      <c r="D1289" s="73" t="s">
        <v>2983</v>
      </c>
      <c r="E1289" s="73"/>
    </row>
    <row r="1290" spans="2:5">
      <c r="B1290" s="73" t="s">
        <v>2984</v>
      </c>
      <c r="C1290" s="69"/>
      <c r="D1290" s="73" t="s">
        <v>2985</v>
      </c>
      <c r="E1290" s="73"/>
    </row>
    <row r="1291" spans="2:5">
      <c r="B1291" s="73" t="s">
        <v>2986</v>
      </c>
      <c r="C1291" s="69"/>
      <c r="D1291" s="73" t="s">
        <v>2987</v>
      </c>
      <c r="E1291" s="73"/>
    </row>
    <row r="1292" spans="2:5">
      <c r="B1292" s="73" t="s">
        <v>2988</v>
      </c>
      <c r="C1292" s="69"/>
      <c r="D1292" s="73" t="s">
        <v>2989</v>
      </c>
      <c r="E1292" s="73"/>
    </row>
    <row r="1293" spans="2:5">
      <c r="B1293" s="73" t="s">
        <v>2990</v>
      </c>
      <c r="C1293" s="69"/>
      <c r="D1293" s="73" t="s">
        <v>2991</v>
      </c>
      <c r="E1293" s="73"/>
    </row>
    <row r="1294" spans="2:5">
      <c r="B1294" s="170" t="s">
        <v>2992</v>
      </c>
      <c r="C1294" s="69"/>
      <c r="D1294" s="73" t="s">
        <v>2993</v>
      </c>
      <c r="E1294" s="73"/>
    </row>
    <row r="1295" spans="2:5">
      <c r="B1295" s="170" t="s">
        <v>2994</v>
      </c>
      <c r="C1295" s="69"/>
      <c r="D1295" s="73" t="s">
        <v>2993</v>
      </c>
      <c r="E1295" s="73"/>
    </row>
    <row r="1296" spans="2:5">
      <c r="B1296" s="170" t="s">
        <v>2995</v>
      </c>
      <c r="C1296" s="69"/>
      <c r="D1296" s="73" t="s">
        <v>2993</v>
      </c>
      <c r="E1296" s="73"/>
    </row>
    <row r="1297" spans="2:5">
      <c r="B1297" s="170" t="s">
        <v>2996</v>
      </c>
      <c r="C1297" s="69"/>
      <c r="D1297" s="73" t="s">
        <v>2997</v>
      </c>
      <c r="E1297" s="73"/>
    </row>
    <row r="1298" spans="2:5">
      <c r="B1298" s="170" t="s">
        <v>2998</v>
      </c>
      <c r="C1298" s="69"/>
      <c r="D1298" s="73" t="s">
        <v>2999</v>
      </c>
      <c r="E1298" s="73"/>
    </row>
    <row r="1299" spans="2:5">
      <c r="B1299" s="170" t="s">
        <v>3000</v>
      </c>
      <c r="C1299" s="69"/>
      <c r="D1299" s="73" t="s">
        <v>3001</v>
      </c>
      <c r="E1299" s="73"/>
    </row>
    <row r="1300" spans="2:5">
      <c r="B1300" s="170" t="s">
        <v>3004</v>
      </c>
      <c r="C1300" s="69"/>
      <c r="D1300" s="73" t="s">
        <v>3005</v>
      </c>
      <c r="E1300" s="73"/>
    </row>
    <row r="1301" spans="2:5">
      <c r="B1301" s="170" t="s">
        <v>3006</v>
      </c>
      <c r="C1301" s="69"/>
      <c r="D1301" s="73" t="s">
        <v>3007</v>
      </c>
      <c r="E1301" s="73"/>
    </row>
    <row r="1302" spans="2:5">
      <c r="B1302" s="170" t="s">
        <v>3008</v>
      </c>
      <c r="C1302" s="69"/>
      <c r="D1302" s="73" t="s">
        <v>3009</v>
      </c>
      <c r="E1302" s="73"/>
    </row>
    <row r="1303" spans="2:5">
      <c r="B1303" s="170" t="s">
        <v>3010</v>
      </c>
      <c r="C1303" s="69"/>
      <c r="D1303" s="73" t="s">
        <v>3011</v>
      </c>
      <c r="E1303" s="73"/>
    </row>
    <row r="1304" spans="2:5">
      <c r="B1304" s="170" t="s">
        <v>3012</v>
      </c>
      <c r="C1304" s="69"/>
      <c r="D1304" s="73" t="s">
        <v>3013</v>
      </c>
      <c r="E1304" s="73"/>
    </row>
    <row r="1305" spans="2:5">
      <c r="B1305" s="170" t="s">
        <v>3014</v>
      </c>
      <c r="C1305" s="69"/>
      <c r="D1305" s="73" t="s">
        <v>3015</v>
      </c>
      <c r="E1305" s="73"/>
    </row>
    <row r="1306" spans="2:5">
      <c r="B1306" s="170" t="s">
        <v>3016</v>
      </c>
      <c r="C1306" s="69"/>
      <c r="D1306" s="73" t="s">
        <v>3017</v>
      </c>
      <c r="E1306" s="73"/>
    </row>
    <row r="1307" spans="2:5">
      <c r="B1307" s="170" t="s">
        <v>3018</v>
      </c>
      <c r="C1307" s="69"/>
      <c r="D1307" s="73" t="s">
        <v>3019</v>
      </c>
      <c r="E1307" s="73"/>
    </row>
    <row r="1308" spans="2:5">
      <c r="B1308" s="170" t="s">
        <v>3020</v>
      </c>
      <c r="C1308" s="69"/>
      <c r="D1308" s="73" t="s">
        <v>3021</v>
      </c>
      <c r="E1308" s="73"/>
    </row>
    <row r="1309" spans="2:5">
      <c r="B1309" s="170" t="s">
        <v>3022</v>
      </c>
      <c r="C1309" s="69"/>
      <c r="D1309" s="73" t="s">
        <v>3023</v>
      </c>
      <c r="E1309" s="73"/>
    </row>
    <row r="1310" spans="2:5">
      <c r="B1310" s="170" t="s">
        <v>3024</v>
      </c>
      <c r="C1310" s="69"/>
      <c r="D1310" s="73" t="s">
        <v>3025</v>
      </c>
      <c r="E1310" s="73"/>
    </row>
    <row r="1311" spans="2:5">
      <c r="B1311" s="170" t="s">
        <v>3026</v>
      </c>
      <c r="C1311" s="69"/>
      <c r="D1311" s="73" t="s">
        <v>3027</v>
      </c>
      <c r="E1311" s="73"/>
    </row>
    <row r="1312" spans="2:5">
      <c r="B1312" s="170" t="s">
        <v>3028</v>
      </c>
      <c r="C1312" s="69"/>
      <c r="D1312" s="73" t="s">
        <v>3029</v>
      </c>
      <c r="E1312" s="73"/>
    </row>
    <row r="1313" spans="2:5">
      <c r="B1313" s="170" t="s">
        <v>3030</v>
      </c>
      <c r="C1313" s="69"/>
      <c r="D1313" s="73" t="s">
        <v>3031</v>
      </c>
      <c r="E1313" s="73"/>
    </row>
    <row r="1314" spans="2:5">
      <c r="B1314" s="170" t="s">
        <v>3032</v>
      </c>
      <c r="C1314" s="69"/>
      <c r="D1314" s="73" t="s">
        <v>3033</v>
      </c>
      <c r="E1314" s="73"/>
    </row>
    <row r="1315" spans="2:5">
      <c r="B1315" s="170" t="s">
        <v>3034</v>
      </c>
      <c r="C1315" s="69"/>
      <c r="D1315" s="73" t="s">
        <v>3035</v>
      </c>
      <c r="E1315" s="73"/>
    </row>
    <row r="1316" spans="2:5">
      <c r="B1316" s="170" t="s">
        <v>3036</v>
      </c>
      <c r="C1316" s="69"/>
      <c r="D1316" s="73" t="s">
        <v>3037</v>
      </c>
      <c r="E1316" s="73"/>
    </row>
    <row r="1317" spans="2:5" ht="51">
      <c r="B1317" s="172" t="s">
        <v>3040</v>
      </c>
      <c r="C1317" s="69"/>
      <c r="D1317" s="172" t="s">
        <v>3041</v>
      </c>
      <c r="E1317" s="73"/>
    </row>
    <row r="1318" spans="2:5">
      <c r="B1318" s="170" t="s">
        <v>3042</v>
      </c>
      <c r="C1318" s="69"/>
      <c r="D1318" s="73" t="s">
        <v>3043</v>
      </c>
      <c r="E1318" s="73"/>
    </row>
    <row r="1319" spans="2:5">
      <c r="B1319" s="170" t="s">
        <v>3044</v>
      </c>
      <c r="C1319" s="69"/>
      <c r="D1319" s="73" t="s">
        <v>3045</v>
      </c>
      <c r="E1319" s="73"/>
    </row>
    <row r="1320" spans="2:5">
      <c r="B1320" s="170" t="s">
        <v>3046</v>
      </c>
      <c r="C1320" s="69"/>
      <c r="D1320" s="73" t="s">
        <v>3047</v>
      </c>
      <c r="E1320" s="73"/>
    </row>
    <row r="1321" spans="2:5">
      <c r="B1321" s="170" t="s">
        <v>3048</v>
      </c>
      <c r="C1321" s="69"/>
      <c r="D1321" s="73" t="s">
        <v>3049</v>
      </c>
      <c r="E1321" s="73"/>
    </row>
    <row r="1322" spans="2:5">
      <c r="B1322" s="170" t="s">
        <v>3050</v>
      </c>
      <c r="C1322" s="69"/>
      <c r="D1322" s="73" t="s">
        <v>3051</v>
      </c>
      <c r="E1322" s="73"/>
    </row>
    <row r="1323" spans="2:5">
      <c r="B1323" s="170" t="s">
        <v>3052</v>
      </c>
      <c r="C1323" s="69"/>
      <c r="D1323" s="73" t="s">
        <v>3053</v>
      </c>
      <c r="E1323" s="73"/>
    </row>
    <row r="1324" spans="2:5">
      <c r="B1324" s="170" t="s">
        <v>3056</v>
      </c>
      <c r="C1324" s="69"/>
      <c r="D1324" s="73" t="s">
        <v>3057</v>
      </c>
      <c r="E1324" s="73"/>
    </row>
    <row r="1325" spans="2:5">
      <c r="B1325" s="170" t="s">
        <v>3058</v>
      </c>
      <c r="C1325" s="69"/>
      <c r="D1325" s="73" t="s">
        <v>3059</v>
      </c>
      <c r="E1325" s="73"/>
    </row>
    <row r="1326" spans="2:5">
      <c r="B1326" s="170" t="s">
        <v>3060</v>
      </c>
      <c r="C1326" s="69"/>
      <c r="D1326" s="73" t="s">
        <v>3061</v>
      </c>
      <c r="E1326" s="73"/>
    </row>
    <row r="1327" spans="2:5">
      <c r="B1327" s="170" t="s">
        <v>3062</v>
      </c>
      <c r="C1327" s="69"/>
      <c r="D1327" s="73" t="s">
        <v>3063</v>
      </c>
      <c r="E1327" s="73"/>
    </row>
    <row r="1328" spans="2:5">
      <c r="B1328" s="170" t="s">
        <v>3064</v>
      </c>
      <c r="C1328" s="69"/>
      <c r="D1328" s="73" t="s">
        <v>3065</v>
      </c>
      <c r="E1328" s="73"/>
    </row>
    <row r="1329" spans="2:5">
      <c r="B1329" s="170" t="s">
        <v>3066</v>
      </c>
      <c r="C1329" s="69"/>
      <c r="D1329" s="73" t="s">
        <v>3066</v>
      </c>
      <c r="E1329" s="73"/>
    </row>
    <row r="1330" spans="2:5">
      <c r="B1330" s="170" t="s">
        <v>1240</v>
      </c>
      <c r="C1330" s="69"/>
      <c r="D1330" s="73"/>
      <c r="E1330" s="73"/>
    </row>
    <row r="1331" spans="2:5">
      <c r="B1331" s="90" t="s">
        <v>3068</v>
      </c>
      <c r="C1331" s="69"/>
      <c r="D1331" s="73" t="s">
        <v>3069</v>
      </c>
      <c r="E1331" s="73"/>
    </row>
    <row r="1332" spans="2:5">
      <c r="B1332" s="170" t="s">
        <v>3070</v>
      </c>
      <c r="C1332" s="69"/>
      <c r="D1332" s="73" t="s">
        <v>3071</v>
      </c>
      <c r="E1332" s="73"/>
    </row>
    <row r="1333" spans="2:5">
      <c r="B1333" s="170" t="s">
        <v>3074</v>
      </c>
      <c r="C1333" s="69"/>
      <c r="D1333" s="73" t="s">
        <v>3075</v>
      </c>
      <c r="E1333" s="73"/>
    </row>
    <row r="1334" spans="2:5">
      <c r="B1334" s="170" t="s">
        <v>3078</v>
      </c>
      <c r="C1334" s="69"/>
      <c r="D1334" s="73" t="s">
        <v>3079</v>
      </c>
      <c r="E1334" s="73"/>
    </row>
    <row r="1335" spans="2:5">
      <c r="B1335" s="170" t="s">
        <v>3080</v>
      </c>
      <c r="C1335" s="69"/>
      <c r="D1335" s="73" t="s">
        <v>3081</v>
      </c>
      <c r="E1335" s="73"/>
    </row>
    <row r="1336" spans="2:5">
      <c r="B1336" s="170" t="s">
        <v>3082</v>
      </c>
      <c r="C1336" s="69"/>
      <c r="D1336" s="73" t="s">
        <v>3083</v>
      </c>
      <c r="E1336" s="73"/>
    </row>
    <row r="1337" spans="2:5">
      <c r="B1337" s="170" t="s">
        <v>3084</v>
      </c>
      <c r="C1337" s="69"/>
      <c r="D1337" s="73" t="s">
        <v>3084</v>
      </c>
      <c r="E1337" s="73"/>
    </row>
    <row r="1338" spans="2:5">
      <c r="B1338" s="170" t="s">
        <v>3085</v>
      </c>
      <c r="C1338" s="69"/>
      <c r="D1338" s="73" t="s">
        <v>3086</v>
      </c>
      <c r="E1338" s="73"/>
    </row>
    <row r="1339" spans="2:5">
      <c r="B1339" s="170" t="s">
        <v>3087</v>
      </c>
      <c r="C1339" s="69"/>
      <c r="D1339" s="73" t="s">
        <v>3088</v>
      </c>
      <c r="E1339" s="73"/>
    </row>
    <row r="1340" spans="2:5">
      <c r="B1340" s="170" t="s">
        <v>3089</v>
      </c>
      <c r="C1340" s="69"/>
      <c r="D1340" s="73" t="s">
        <v>3090</v>
      </c>
      <c r="E1340" s="73"/>
    </row>
    <row r="1341" spans="2:5">
      <c r="B1341" s="170" t="s">
        <v>3091</v>
      </c>
      <c r="C1341" s="69"/>
      <c r="D1341" s="73" t="s">
        <v>3092</v>
      </c>
      <c r="E1341" s="73"/>
    </row>
    <row r="1342" spans="2:5">
      <c r="B1342" s="170" t="s">
        <v>3093</v>
      </c>
      <c r="C1342" s="69"/>
      <c r="D1342" s="73" t="s">
        <v>3094</v>
      </c>
      <c r="E1342" s="73"/>
    </row>
    <row r="1343" spans="2:5">
      <c r="B1343" s="170" t="s">
        <v>3095</v>
      </c>
      <c r="C1343" s="69"/>
      <c r="D1343" s="73" t="s">
        <v>3096</v>
      </c>
      <c r="E1343" s="73"/>
    </row>
    <row r="1344" spans="2:5">
      <c r="B1344" s="170" t="s">
        <v>3097</v>
      </c>
      <c r="C1344" s="69"/>
      <c r="D1344" s="73" t="s">
        <v>3098</v>
      </c>
      <c r="E1344" s="73"/>
    </row>
    <row r="1345" spans="2:5">
      <c r="B1345" s="170" t="s">
        <v>3099</v>
      </c>
      <c r="C1345" s="69"/>
      <c r="D1345" s="73" t="s">
        <v>3100</v>
      </c>
      <c r="E1345" s="73"/>
    </row>
    <row r="1346" spans="2:5">
      <c r="B1346" s="170" t="s">
        <v>3101</v>
      </c>
      <c r="C1346" s="69"/>
      <c r="D1346" s="73" t="s">
        <v>3102</v>
      </c>
      <c r="E1346" s="73"/>
    </row>
    <row r="1347" spans="2:5">
      <c r="B1347" s="170" t="s">
        <v>3103</v>
      </c>
      <c r="C1347" s="69"/>
      <c r="D1347" s="73" t="s">
        <v>3104</v>
      </c>
      <c r="E1347" s="73"/>
    </row>
    <row r="1348" spans="2:5">
      <c r="B1348" s="170" t="s">
        <v>3105</v>
      </c>
      <c r="C1348" s="69"/>
      <c r="D1348" s="73" t="s">
        <v>3106</v>
      </c>
      <c r="E1348" s="73"/>
    </row>
    <row r="1349" spans="2:5">
      <c r="B1349" s="170" t="s">
        <v>3107</v>
      </c>
      <c r="C1349" s="69"/>
      <c r="D1349" s="73" t="s">
        <v>3108</v>
      </c>
      <c r="E1349" s="73"/>
    </row>
    <row r="1350" spans="2:5">
      <c r="B1350" s="170" t="s">
        <v>3109</v>
      </c>
      <c r="C1350" s="69"/>
      <c r="D1350" s="73" t="s">
        <v>3110</v>
      </c>
      <c r="E1350" s="73"/>
    </row>
    <row r="1351" spans="2:5">
      <c r="B1351" s="170" t="s">
        <v>3111</v>
      </c>
      <c r="C1351" s="69"/>
      <c r="D1351" s="73" t="s">
        <v>3112</v>
      </c>
      <c r="E1351" s="73"/>
    </row>
    <row r="1352" spans="2:5" ht="25.5">
      <c r="B1352" s="170" t="s">
        <v>3113</v>
      </c>
      <c r="C1352" s="69"/>
      <c r="D1352" s="170" t="s">
        <v>3114</v>
      </c>
      <c r="E1352" s="73"/>
    </row>
    <row r="1353" spans="2:5">
      <c r="B1353" s="170" t="s">
        <v>3115</v>
      </c>
      <c r="C1353" s="69"/>
      <c r="D1353" s="170" t="s">
        <v>3116</v>
      </c>
      <c r="E1353" s="73"/>
    </row>
    <row r="1354" spans="2:5">
      <c r="B1354" s="170" t="s">
        <v>3117</v>
      </c>
      <c r="C1354" s="69"/>
      <c r="D1354" s="170" t="s">
        <v>3118</v>
      </c>
      <c r="E1354" s="73"/>
    </row>
    <row r="1355" spans="2:5">
      <c r="B1355" s="170" t="s">
        <v>3119</v>
      </c>
      <c r="C1355" s="69"/>
      <c r="D1355" s="170" t="s">
        <v>3120</v>
      </c>
      <c r="E1355" s="73"/>
    </row>
    <row r="1356" spans="2:5">
      <c r="B1356" s="170" t="s">
        <v>3121</v>
      </c>
      <c r="C1356" s="69"/>
      <c r="D1356" s="170" t="s">
        <v>3122</v>
      </c>
      <c r="E1356" s="73"/>
    </row>
    <row r="1357" spans="2:5">
      <c r="B1357" s="170" t="s">
        <v>3123</v>
      </c>
      <c r="C1357" s="69"/>
      <c r="D1357" s="170" t="s">
        <v>3124</v>
      </c>
      <c r="E1357" s="73"/>
    </row>
    <row r="1358" spans="2:5">
      <c r="B1358" s="170" t="s">
        <v>3125</v>
      </c>
      <c r="C1358" s="69"/>
      <c r="D1358" s="170" t="s">
        <v>3126</v>
      </c>
      <c r="E1358" s="73"/>
    </row>
    <row r="1359" spans="2:5">
      <c r="B1359" s="170" t="s">
        <v>3127</v>
      </c>
      <c r="C1359" s="69"/>
      <c r="D1359" s="170" t="s">
        <v>3128</v>
      </c>
      <c r="E1359" s="73"/>
    </row>
    <row r="1360" spans="2:5">
      <c r="B1360" s="170" t="s">
        <v>3129</v>
      </c>
      <c r="C1360" s="69"/>
      <c r="D1360" s="170" t="s">
        <v>3130</v>
      </c>
      <c r="E1360" s="73"/>
    </row>
    <row r="1361" spans="2:5" ht="25.5">
      <c r="B1361" s="170" t="s">
        <v>3131</v>
      </c>
      <c r="C1361" s="69"/>
      <c r="D1361" s="170" t="s">
        <v>3132</v>
      </c>
      <c r="E1361" s="73"/>
    </row>
    <row r="1362" spans="2:5">
      <c r="B1362" s="170" t="s">
        <v>3133</v>
      </c>
      <c r="C1362" s="69"/>
      <c r="D1362" s="170" t="s">
        <v>3134</v>
      </c>
      <c r="E1362" s="73"/>
    </row>
    <row r="1363" spans="2:5">
      <c r="B1363" s="170" t="s">
        <v>3135</v>
      </c>
      <c r="C1363" s="69"/>
      <c r="D1363" s="170" t="s">
        <v>3136</v>
      </c>
      <c r="E1363" s="73"/>
    </row>
    <row r="1364" spans="2:5" ht="25.5">
      <c r="B1364" s="170" t="s">
        <v>3137</v>
      </c>
      <c r="C1364" s="69"/>
      <c r="D1364" s="170" t="s">
        <v>3138</v>
      </c>
      <c r="E1364" s="73"/>
    </row>
    <row r="1365" spans="2:5">
      <c r="B1365" s="170" t="s">
        <v>3139</v>
      </c>
      <c r="C1365" s="69"/>
      <c r="D1365" s="170" t="s">
        <v>3140</v>
      </c>
      <c r="E1365" s="73"/>
    </row>
    <row r="1366" spans="2:5" ht="25.5">
      <c r="B1366" s="170" t="s">
        <v>3141</v>
      </c>
      <c r="C1366" s="69"/>
      <c r="D1366" s="170" t="s">
        <v>3142</v>
      </c>
      <c r="E1366" s="73"/>
    </row>
    <row r="1367" spans="2:5">
      <c r="B1367" s="170" t="s">
        <v>3143</v>
      </c>
      <c r="C1367" s="69"/>
      <c r="D1367" s="73" t="s">
        <v>3144</v>
      </c>
      <c r="E1367" s="73"/>
    </row>
    <row r="1368" spans="2:5">
      <c r="B1368" s="170" t="s">
        <v>3145</v>
      </c>
      <c r="C1368" s="69"/>
      <c r="D1368" s="73" t="s">
        <v>3146</v>
      </c>
      <c r="E1368" s="73"/>
    </row>
    <row r="1369" spans="2:5">
      <c r="B1369" s="170" t="s">
        <v>3147</v>
      </c>
      <c r="C1369" s="69" t="s">
        <v>3148</v>
      </c>
      <c r="D1369" s="73" t="s">
        <v>3149</v>
      </c>
      <c r="E1369" s="73"/>
    </row>
    <row r="1370" spans="2:5">
      <c r="B1370" s="170" t="s">
        <v>3150</v>
      </c>
      <c r="C1370" s="69"/>
      <c r="D1370" s="73" t="s">
        <v>3151</v>
      </c>
      <c r="E1370" s="73"/>
    </row>
    <row r="1371" spans="2:5">
      <c r="B1371" s="170" t="s">
        <v>3152</v>
      </c>
      <c r="C1371" s="69"/>
      <c r="D1371" s="73" t="s">
        <v>3153</v>
      </c>
      <c r="E1371" s="73"/>
    </row>
    <row r="1372" spans="2:5">
      <c r="B1372" s="170" t="s">
        <v>3154</v>
      </c>
      <c r="C1372" s="69"/>
      <c r="D1372" s="73" t="s">
        <v>3155</v>
      </c>
      <c r="E1372" s="73"/>
    </row>
    <row r="1373" spans="2:5">
      <c r="B1373" s="170" t="s">
        <v>3156</v>
      </c>
      <c r="C1373" s="69"/>
      <c r="D1373" s="73" t="s">
        <v>3157</v>
      </c>
      <c r="E1373" s="73"/>
    </row>
    <row r="1374" spans="2:5">
      <c r="B1374" s="170" t="s">
        <v>3158</v>
      </c>
      <c r="C1374" s="69"/>
      <c r="D1374" s="73" t="s">
        <v>3159</v>
      </c>
      <c r="E1374" s="73"/>
    </row>
    <row r="1375" spans="2:5">
      <c r="B1375" s="170" t="s">
        <v>3160</v>
      </c>
      <c r="C1375" s="69"/>
      <c r="D1375" s="73" t="s">
        <v>3161</v>
      </c>
      <c r="E1375" s="73"/>
    </row>
    <row r="1376" spans="2:5">
      <c r="B1376" s="170" t="s">
        <v>3162</v>
      </c>
      <c r="C1376" s="69"/>
      <c r="D1376" s="73" t="s">
        <v>3163</v>
      </c>
      <c r="E1376" s="73"/>
    </row>
    <row r="1377" spans="2:5">
      <c r="B1377" s="170" t="s">
        <v>3168</v>
      </c>
      <c r="C1377" s="69"/>
      <c r="D1377" s="73" t="s">
        <v>3169</v>
      </c>
      <c r="E1377" s="73"/>
    </row>
    <row r="1378" spans="2:5">
      <c r="B1378" s="170" t="s">
        <v>3171</v>
      </c>
      <c r="C1378" s="69"/>
      <c r="D1378" s="73" t="s">
        <v>3172</v>
      </c>
      <c r="E1378" s="73"/>
    </row>
    <row r="1379" spans="2:5">
      <c r="B1379" s="170" t="s">
        <v>3173</v>
      </c>
      <c r="C1379" s="69"/>
      <c r="D1379" s="73" t="s">
        <v>3174</v>
      </c>
      <c r="E1379" s="73"/>
    </row>
    <row r="1380" spans="2:5">
      <c r="B1380" s="170" t="s">
        <v>3177</v>
      </c>
      <c r="C1380" s="69"/>
      <c r="D1380" s="73" t="s">
        <v>3178</v>
      </c>
      <c r="E1380" s="73"/>
    </row>
    <row r="1381" spans="2:5">
      <c r="B1381" s="170" t="s">
        <v>3179</v>
      </c>
      <c r="C1381" s="69"/>
      <c r="D1381" s="73" t="s">
        <v>3180</v>
      </c>
      <c r="E1381" s="73"/>
    </row>
    <row r="1382" spans="2:5">
      <c r="B1382" s="170" t="s">
        <v>3185</v>
      </c>
      <c r="C1382" s="69"/>
      <c r="D1382" s="73" t="s">
        <v>3186</v>
      </c>
      <c r="E1382" s="73"/>
    </row>
    <row r="1383" spans="2:5">
      <c r="B1383" s="170" t="s">
        <v>3187</v>
      </c>
      <c r="C1383" s="69"/>
      <c r="D1383" s="73" t="s">
        <v>3188</v>
      </c>
      <c r="E1383" s="73"/>
    </row>
    <row r="1384" spans="2:5">
      <c r="B1384" s="170" t="s">
        <v>3189</v>
      </c>
      <c r="C1384" s="69"/>
      <c r="D1384" s="73" t="s">
        <v>3190</v>
      </c>
      <c r="E1384" s="73"/>
    </row>
    <row r="1385" spans="2:5">
      <c r="B1385" s="170" t="s">
        <v>3193</v>
      </c>
      <c r="C1385" s="69"/>
      <c r="D1385" s="73" t="s">
        <v>3194</v>
      </c>
      <c r="E1385" s="73"/>
    </row>
    <row r="1386" spans="2:5">
      <c r="B1386" s="170" t="s">
        <v>3195</v>
      </c>
      <c r="C1386" s="69"/>
      <c r="D1386" s="73" t="s">
        <v>3196</v>
      </c>
      <c r="E1386" s="73"/>
    </row>
    <row r="1387" spans="2:5">
      <c r="B1387" s="170" t="s">
        <v>3197</v>
      </c>
      <c r="C1387" s="69"/>
      <c r="D1387" s="73" t="s">
        <v>3198</v>
      </c>
      <c r="E1387" s="73"/>
    </row>
    <row r="1388" spans="2:5">
      <c r="B1388" s="170" t="s">
        <v>3199</v>
      </c>
      <c r="C1388" s="69"/>
      <c r="D1388" s="73" t="s">
        <v>3200</v>
      </c>
      <c r="E1388" s="73"/>
    </row>
    <row r="1389" spans="2:5">
      <c r="B1389" s="170" t="s">
        <v>3201</v>
      </c>
      <c r="C1389" s="69"/>
      <c r="D1389" s="73" t="s">
        <v>3202</v>
      </c>
      <c r="E1389" s="73"/>
    </row>
    <row r="1390" spans="2:5">
      <c r="B1390" s="170" t="s">
        <v>3203</v>
      </c>
      <c r="C1390" s="69"/>
      <c r="D1390" s="73" t="s">
        <v>3204</v>
      </c>
      <c r="E1390" s="73"/>
    </row>
    <row r="1391" spans="2:5">
      <c r="B1391" s="170" t="s">
        <v>3207</v>
      </c>
      <c r="C1391" s="69"/>
      <c r="D1391" s="73" t="s">
        <v>3208</v>
      </c>
      <c r="E1391" s="73"/>
    </row>
    <row r="1392" spans="2:5">
      <c r="B1392" s="173" t="s">
        <v>2874</v>
      </c>
      <c r="C1392" s="69"/>
      <c r="D1392" s="174" t="s">
        <v>2875</v>
      </c>
      <c r="E1392" s="174"/>
    </row>
    <row r="1393" spans="2:5">
      <c r="B1393" s="173" t="s">
        <v>4</v>
      </c>
      <c r="C1393" s="69"/>
      <c r="D1393" s="174" t="s">
        <v>3167</v>
      </c>
      <c r="E1393" s="174"/>
    </row>
    <row r="1394" spans="2:5">
      <c r="B1394" s="173" t="s">
        <v>3168</v>
      </c>
      <c r="C1394" s="69"/>
      <c r="D1394" s="174" t="s">
        <v>3282</v>
      </c>
      <c r="E1394" s="174"/>
    </row>
    <row r="1395" spans="2:5">
      <c r="B1395" s="173" t="s">
        <v>2</v>
      </c>
      <c r="C1395" s="69"/>
      <c r="D1395" s="174" t="s">
        <v>3170</v>
      </c>
      <c r="E1395" s="174"/>
    </row>
    <row r="1396" spans="2:5">
      <c r="B1396" s="173" t="s">
        <v>3171</v>
      </c>
      <c r="C1396" s="69"/>
      <c r="D1396" s="174" t="s">
        <v>3283</v>
      </c>
      <c r="E1396" s="174"/>
    </row>
    <row r="1397" spans="2:5">
      <c r="B1397" s="173" t="s">
        <v>3173</v>
      </c>
      <c r="C1397" s="69"/>
      <c r="D1397" s="174" t="s">
        <v>3174</v>
      </c>
      <c r="E1397" s="174"/>
    </row>
    <row r="1398" spans="2:5">
      <c r="B1398" s="173" t="s">
        <v>3177</v>
      </c>
      <c r="C1398" s="69"/>
      <c r="D1398" s="174" t="s">
        <v>3284</v>
      </c>
      <c r="E1398" s="174"/>
    </row>
    <row r="1399" spans="2:5">
      <c r="B1399" s="173" t="s">
        <v>3179</v>
      </c>
      <c r="C1399" s="69"/>
      <c r="D1399" s="174" t="s">
        <v>3180</v>
      </c>
      <c r="E1399" s="174"/>
    </row>
    <row r="1400" spans="2:5">
      <c r="B1400" s="173" t="s">
        <v>3181</v>
      </c>
      <c r="C1400" s="69"/>
      <c r="D1400" s="174" t="s">
        <v>3262</v>
      </c>
      <c r="E1400" s="174"/>
    </row>
    <row r="1401" spans="2:5">
      <c r="B1401" s="173" t="s">
        <v>3182</v>
      </c>
      <c r="C1401" s="69"/>
      <c r="D1401" s="174" t="s">
        <v>3263</v>
      </c>
      <c r="E1401" s="174"/>
    </row>
    <row r="1402" spans="2:5">
      <c r="B1402" s="173" t="s">
        <v>3183</v>
      </c>
      <c r="C1402" s="69"/>
      <c r="D1402" s="174" t="s">
        <v>3184</v>
      </c>
      <c r="E1402" s="174"/>
    </row>
    <row r="1403" spans="2:5">
      <c r="B1403" s="173" t="s">
        <v>3185</v>
      </c>
      <c r="C1403" s="69"/>
      <c r="D1403" s="174" t="s">
        <v>3285</v>
      </c>
      <c r="E1403" s="174"/>
    </row>
    <row r="1404" spans="2:5">
      <c r="B1404" s="170" t="s">
        <v>3542</v>
      </c>
      <c r="C1404" s="69"/>
      <c r="D1404" s="174" t="s">
        <v>3286</v>
      </c>
      <c r="E1404" s="174"/>
    </row>
    <row r="1405" spans="2:5">
      <c r="B1405" s="173" t="s">
        <v>3189</v>
      </c>
      <c r="C1405" s="69"/>
      <c r="D1405" s="174" t="s">
        <v>3287</v>
      </c>
      <c r="E1405" s="174"/>
    </row>
    <row r="1406" spans="2:5">
      <c r="B1406" s="173" t="s">
        <v>3191</v>
      </c>
      <c r="C1406" s="69"/>
      <c r="D1406" s="174" t="s">
        <v>3192</v>
      </c>
      <c r="E1406" s="174"/>
    </row>
    <row r="1407" spans="2:5">
      <c r="B1407" s="173" t="s">
        <v>3193</v>
      </c>
      <c r="C1407" s="69"/>
      <c r="D1407" s="174" t="s">
        <v>3288</v>
      </c>
      <c r="E1407" s="174"/>
    </row>
    <row r="1408" spans="2:5">
      <c r="B1408" s="173" t="s">
        <v>3195</v>
      </c>
      <c r="C1408" s="69"/>
      <c r="D1408" s="174" t="s">
        <v>3289</v>
      </c>
      <c r="E1408" s="174"/>
    </row>
    <row r="1409" spans="1:5">
      <c r="B1409" s="173" t="s">
        <v>1</v>
      </c>
      <c r="C1409" s="69"/>
      <c r="D1409" s="174" t="s">
        <v>3265</v>
      </c>
      <c r="E1409" s="174"/>
    </row>
    <row r="1410" spans="1:5">
      <c r="B1410" s="173" t="s">
        <v>3197</v>
      </c>
      <c r="C1410" s="69"/>
      <c r="D1410" s="174" t="s">
        <v>3290</v>
      </c>
      <c r="E1410" s="174"/>
    </row>
    <row r="1411" spans="1:5">
      <c r="B1411" s="173" t="s">
        <v>3199</v>
      </c>
      <c r="C1411" s="69"/>
      <c r="D1411" s="174" t="s">
        <v>3291</v>
      </c>
      <c r="E1411" s="174"/>
    </row>
    <row r="1412" spans="1:5">
      <c r="B1412" s="173" t="s">
        <v>3201</v>
      </c>
      <c r="C1412" s="69"/>
      <c r="D1412" s="174" t="s">
        <v>3292</v>
      </c>
      <c r="E1412" s="174"/>
    </row>
    <row r="1413" spans="1:5">
      <c r="B1413" s="173" t="s">
        <v>3203</v>
      </c>
      <c r="C1413" s="69"/>
      <c r="D1413" s="174" t="s">
        <v>3293</v>
      </c>
      <c r="E1413" s="174"/>
    </row>
    <row r="1414" spans="1:5">
      <c r="B1414" s="173" t="s">
        <v>3205</v>
      </c>
      <c r="C1414" s="69"/>
      <c r="D1414" s="174" t="s">
        <v>3206</v>
      </c>
      <c r="E1414" s="174"/>
    </row>
    <row r="1415" spans="1:5">
      <c r="B1415" s="173" t="s">
        <v>3207</v>
      </c>
      <c r="C1415" s="69"/>
      <c r="D1415" s="174" t="s">
        <v>3208</v>
      </c>
      <c r="E1415" s="174"/>
    </row>
    <row r="1416" spans="1:5">
      <c r="B1416" s="173" t="s">
        <v>3209</v>
      </c>
      <c r="C1416" s="69"/>
      <c r="D1416" s="174" t="s">
        <v>3266</v>
      </c>
      <c r="E1416" s="174"/>
    </row>
    <row r="1417" spans="1:5">
      <c r="B1417" s="173" t="s">
        <v>72</v>
      </c>
      <c r="C1417" s="69"/>
      <c r="D1417" s="174" t="s">
        <v>3294</v>
      </c>
      <c r="E1417" s="174"/>
    </row>
    <row r="1418" spans="1:5">
      <c r="B1418" s="173" t="s">
        <v>3295</v>
      </c>
      <c r="C1418" s="69"/>
      <c r="D1418" s="174" t="s">
        <v>3296</v>
      </c>
      <c r="E1418" s="174"/>
    </row>
    <row r="1419" spans="1:5" ht="38.25">
      <c r="B1419" s="173" t="s">
        <v>3220</v>
      </c>
      <c r="C1419" s="69"/>
      <c r="D1419" s="173" t="s">
        <v>3297</v>
      </c>
      <c r="E1419" s="174"/>
    </row>
    <row r="1420" spans="1:5">
      <c r="B1420" s="173" t="s">
        <v>3217</v>
      </c>
      <c r="C1420" s="69"/>
      <c r="D1420" s="173" t="s">
        <v>3270</v>
      </c>
      <c r="E1420" s="174"/>
    </row>
    <row r="1421" spans="1:5" ht="25.5">
      <c r="B1421" s="173" t="s">
        <v>71</v>
      </c>
      <c r="C1421" s="69"/>
      <c r="D1421" s="173" t="s">
        <v>3271</v>
      </c>
      <c r="E1421" s="174"/>
    </row>
    <row r="1422" spans="1:5">
      <c r="B1422" s="173" t="s">
        <v>3218</v>
      </c>
      <c r="C1422" s="69"/>
      <c r="D1422" s="173" t="s">
        <v>3272</v>
      </c>
      <c r="E1422" s="174"/>
    </row>
    <row r="1423" spans="1:5">
      <c r="B1423" s="170" t="s">
        <v>3478</v>
      </c>
      <c r="C1423" s="69"/>
      <c r="D1423" s="170" t="s">
        <v>3479</v>
      </c>
      <c r="E1423" s="174"/>
    </row>
    <row r="1424" spans="1:5" ht="25.5">
      <c r="A1424" s="311"/>
      <c r="B1424" s="173" t="s">
        <v>3298</v>
      </c>
      <c r="C1424" s="69"/>
      <c r="D1424" s="173" t="s">
        <v>3299</v>
      </c>
      <c r="E1424" s="174"/>
    </row>
    <row r="1425" spans="1:5">
      <c r="A1425" s="311"/>
      <c r="B1425" s="173" t="s">
        <v>3300</v>
      </c>
      <c r="C1425" s="69"/>
      <c r="D1425" s="173" t="s">
        <v>3301</v>
      </c>
      <c r="E1425" s="174"/>
    </row>
    <row r="1426" spans="1:5">
      <c r="A1426" s="311"/>
      <c r="B1426" s="173" t="s">
        <v>3302</v>
      </c>
      <c r="C1426" s="69"/>
      <c r="D1426" s="173" t="s">
        <v>3303</v>
      </c>
      <c r="E1426" s="174"/>
    </row>
    <row r="1427" spans="1:5">
      <c r="B1427" s="170" t="s">
        <v>3304</v>
      </c>
      <c r="C1427" s="69"/>
      <c r="D1427" s="170" t="s">
        <v>3533</v>
      </c>
      <c r="E1427" s="73"/>
    </row>
    <row r="1428" spans="1:5" ht="25.5">
      <c r="A1428" s="313"/>
      <c r="B1428" s="312" t="s">
        <v>3465</v>
      </c>
      <c r="C1428" s="69"/>
      <c r="D1428" s="90" t="s">
        <v>3466</v>
      </c>
      <c r="E1428" s="73"/>
    </row>
    <row r="1429" spans="1:5">
      <c r="B1429" s="263" t="s">
        <v>3331</v>
      </c>
      <c r="C1429" s="69"/>
      <c r="D1429" s="264" t="s">
        <v>3332</v>
      </c>
      <c r="E1429" s="264"/>
    </row>
    <row r="1430" spans="1:5">
      <c r="B1430" s="263" t="s">
        <v>3333</v>
      </c>
      <c r="C1430" s="69"/>
      <c r="D1430" s="264" t="s">
        <v>3334</v>
      </c>
      <c r="E1430" s="264"/>
    </row>
    <row r="1431" spans="1:5">
      <c r="B1431" s="263" t="s">
        <v>3335</v>
      </c>
      <c r="C1431" s="69"/>
      <c r="D1431" s="264" t="s">
        <v>3336</v>
      </c>
      <c r="E1431" s="264"/>
    </row>
    <row r="1432" spans="1:5">
      <c r="B1432" s="170" t="s">
        <v>3207</v>
      </c>
      <c r="C1432" s="69"/>
      <c r="D1432" s="73" t="s">
        <v>3208</v>
      </c>
      <c r="E1432" s="73"/>
    </row>
    <row r="1433" spans="1:5">
      <c r="B1433" s="506" t="s">
        <v>3470</v>
      </c>
      <c r="C1433" s="507"/>
      <c r="D1433" s="508" t="s">
        <v>3473</v>
      </c>
      <c r="E1433" s="508"/>
    </row>
    <row r="1434" spans="1:5">
      <c r="B1434" s="506" t="s">
        <v>3471</v>
      </c>
      <c r="C1434" s="507"/>
      <c r="D1434" s="508" t="s">
        <v>3474</v>
      </c>
      <c r="E1434" s="508"/>
    </row>
    <row r="1435" spans="1:5">
      <c r="B1435" s="506" t="s">
        <v>3472</v>
      </c>
      <c r="C1435" s="507"/>
      <c r="D1435" s="508" t="s">
        <v>3475</v>
      </c>
      <c r="E1435" s="508"/>
    </row>
    <row r="1436" spans="1:5">
      <c r="B1436" s="170" t="s">
        <v>3468</v>
      </c>
      <c r="C1436" s="69"/>
      <c r="D1436" s="73" t="s">
        <v>3476</v>
      </c>
      <c r="E1436" s="73"/>
    </row>
    <row r="1437" spans="1:5">
      <c r="B1437" s="170" t="s">
        <v>3469</v>
      </c>
      <c r="C1437" s="69"/>
      <c r="D1437" s="73" t="s">
        <v>3477</v>
      </c>
      <c r="E1437" s="73"/>
    </row>
  </sheetData>
  <sheetProtection sheet="1" objects="1" scenarios="1"/>
  <pageMargins left="0.7" right="0.7" top="0.75" bottom="0.75" header="0.3" footer="0.3"/>
  <pageSetup paperSize="9" orientation="portrait" horizontalDpi="300" verticalDpi="300" r:id="rId1"/>
  <tableParts count="2">
    <tablePart r:id="rId2"/>
    <tablePart r:id="rId3"/>
  </tableParts>
</worksheet>
</file>

<file path=customXML/_rels/item2.xml.rels>&#65279;<?xml version="1.0" encoding="utf-8"?><Relationships xmlns="http://schemas.openxmlformats.org/package/2006/relationships"><Relationship Type="http://schemas.openxmlformats.org/officeDocument/2006/relationships/customXmlProps" Target="/customXML/itemProps2.xml" Id="Rd3c4172d526e4b2384ade4b889302c76" /></Relationships>
</file>

<file path=customXML/item2.xml><?xml version="1.0" encoding="utf-8"?>
<metadata xmlns="http://www.objective.com/ecm/document/metadata/FF3C5B18883D4E21973B57C2EEED7FD1" version="1.0.0">
  <systemFields>
    <field name="Objective-Id">
      <value order="0">A48584803</value>
    </field>
    <field name="Objective-Title">
      <value order="0">BR2 Return 2024-25</value>
    </field>
    <field name="Objective-Description">
      <value order="0"/>
    </field>
    <field name="Objective-CreationStamp">
      <value order="0">2023-12-05T17:40:56Z</value>
    </field>
    <field name="Objective-IsApproved">
      <value order="0">false</value>
    </field>
    <field name="Objective-IsPublished">
      <value order="0">true</value>
    </field>
    <field name="Objective-DatePublished">
      <value order="0">2024-02-28T17:16:16Z</value>
    </field>
    <field name="Objective-ModificationStamp">
      <value order="0">2024-02-28T17:16:16Z</value>
    </field>
    <field name="Objective-Owner">
      <value order="0">Kelly, Frank (COOG - DDAT - KAS - Statistical Services)</value>
    </field>
    <field name="Objective-Path">
      <value order="0">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alue>
    </field>
    <field name="Objective-Parent">
      <value order="0">LGFS-BR-24-Docs</value>
    </field>
    <field name="Objective-State">
      <value order="0">Published</value>
    </field>
    <field name="Objective-VersionId">
      <value order="0">vA94000457</value>
    </field>
    <field name="Objective-Version">
      <value order="0">2.0</value>
    </field>
    <field name="Objective-VersionNumber">
      <value order="0">10</value>
    </field>
    <field name="Objective-VersionComment">
      <value order="0"/>
    </field>
    <field name="Objective-FileNumber">
      <value order="0">qA1364033</value>
    </field>
    <field name="Objective-Classification">
      <value order="0">Official</value>
    </field>
    <field name="Objective-Caveats">
      <value order="0"/>
    </field>
  </systemFields>
  <catalogues>
    <catalogue name="Document Type Catalogue" type="type" ori="id:cA14">
      <field name="Objective-Date Acquired">
        <value order="0">2023-01-18T00:00:00Z</value>
      </field>
      <field name="Objective-Official Translation">
        <value order="0"/>
      </field>
      <field name="Objective-Connect Creator">
        <value order="0"/>
      </field>
    </catalogue>
  </catalogues>
</metadata>
</file>

<file path=customXML/itemProps2.xml><?xml version="1.0" encoding="utf-8"?>
<ds:datastoreItem xmlns:ds="http://schemas.openxmlformats.org/officeDocument/2006/customXml" ds:itemID="{5745109E-2DDF-40CB-AC2B-FF9B10C90820}">
  <ds:schemaRefs>
    <ds:schemaRef ds:uri="http://www.objective.com/ecm/document/metadata/FF3C5B18883D4E21973B57C2EEED7FD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16</vt:i4>
      </vt:variant>
    </vt:vector>
  </HeadingPairs>
  <TitlesOfParts>
    <vt:vector size="26" baseType="lpstr">
      <vt:lpstr>PROCESS</vt:lpstr>
      <vt:lpstr>FrontPage</vt:lpstr>
      <vt:lpstr>BR2</vt:lpstr>
      <vt:lpstr>Survey Response Burden</vt:lpstr>
      <vt:lpstr>Comments</vt:lpstr>
      <vt:lpstr>Transfer</vt:lpstr>
      <vt:lpstr>Details</vt:lpstr>
      <vt:lpstr>Text</vt:lpstr>
      <vt:lpstr>Translate</vt:lpstr>
      <vt:lpstr>ValData</vt:lpstr>
      <vt:lpstr>_tab1</vt:lpstr>
      <vt:lpstr>Addresses</vt:lpstr>
      <vt:lpstr>Authority</vt:lpstr>
      <vt:lpstr>Data</vt:lpstr>
      <vt:lpstr>letter</vt:lpstr>
      <vt:lpstr>LineData</vt:lpstr>
      <vt:lpstr>'BR2'!Print_Area</vt:lpstr>
      <vt:lpstr>Comments!Print_Area</vt:lpstr>
      <vt:lpstr>FrontPage!Print_Area</vt:lpstr>
      <vt:lpstr>'Survey Response Burden'!Print_Area</vt:lpstr>
      <vt:lpstr>Taxbase</vt:lpstr>
      <vt:lpstr>UAList</vt:lpstr>
      <vt:lpstr>UANumber</vt:lpstr>
      <vt:lpstr>ValYOY</vt:lpstr>
      <vt:lpstr>vtab</vt:lpstr>
      <vt:lpstr>Year</vt:lpstr>
    </vt:vector>
  </TitlesOfParts>
  <Company>Welsh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Tracy Lewis</dc:creator>
  <cp:keywords>YoY Template DND; 8</cp:keywords>
  <cp:lastModifiedBy>Newby, Anthony (COOG - DDAT - KAS - Statistical Servic</cp:lastModifiedBy>
  <cp:lastPrinted>2023-02-15T11:01:05Z</cp:lastPrinted>
  <dcterms:created xsi:type="dcterms:W3CDTF">1999-09-27T10:24:37Z</dcterms:created>
  <dcterms:modified xsi:type="dcterms:W3CDTF">2024-02-28T17:16:06Z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A48584803</vt:lpwstr>
  </property>
  <property fmtid="{D5CDD505-2E9C-101B-9397-08002B2CF9AE}" pid="3" name="Objective-Title">
    <vt:lpwstr>BR2 Return 2024-25</vt:lpwstr>
  </property>
  <property fmtid="{D5CDD505-2E9C-101B-9397-08002B2CF9AE}" pid="4" name="Objective-Comment">
    <vt:lpwstr/>
  </property>
  <property fmtid="{D5CDD505-2E9C-101B-9397-08002B2CF9AE}" pid="5" name="Objective-CreationStamp">
    <vt:filetime>2023-12-05T17:40:56Z</vt:filetime>
  </property>
  <property fmtid="{D5CDD505-2E9C-101B-9397-08002B2CF9AE}" pid="6" name="Objective-IsApproved">
    <vt:bool>false</vt:bool>
  </property>
  <property fmtid="{D5CDD505-2E9C-101B-9397-08002B2CF9AE}" pid="7" name="Objective-IsPublished">
    <vt:bool>true</vt:bool>
  </property>
  <property fmtid="{D5CDD505-2E9C-101B-9397-08002B2CF9AE}" pid="8" name="Objective-DatePublished">
    <vt:filetime>2024-02-28T17:16:16Z</vt:filetime>
  </property>
  <property fmtid="{D5CDD505-2E9C-101B-9397-08002B2CF9AE}" pid="9" name="Objective-ModificationStamp">
    <vt:filetime>2024-02-28T17:16:16Z</vt:filetime>
  </property>
  <property fmtid="{D5CDD505-2E9C-101B-9397-08002B2CF9AE}" pid="10" name="Objective-Owner">
    <vt:lpwstr>Kelly, Frank (COOG - DDAT - KAS - Statistical Services)</vt:lpwstr>
  </property>
  <property fmtid="{D5CDD505-2E9C-101B-9397-08002B2CF9AE}" pid="11" name="Objective-Path">
    <vt:lpwstr>Objective Global Folder:#Business File Plan:WG Organisational Groups:NEW - Post April 2022 - Chief Operating Officer:Chief Operating Officer (COO) - KAS - Chief Statistician:1 - Save:# LEGACY VFP - Statistical Services:Economic, Finance &amp; Transport:Local Government Finance Statistics:Forms-Revenue:Local Government Finance Statistics - Revenue - Budget Requirement Return (BR) - 2019-2024:LGFS-BR-24-Docs:</vt:lpwstr>
  </property>
  <property fmtid="{D5CDD505-2E9C-101B-9397-08002B2CF9AE}" pid="12" name="Objective-Parent">
    <vt:lpwstr>LGFS-BR-24-Docs</vt:lpwstr>
  </property>
  <property fmtid="{D5CDD505-2E9C-101B-9397-08002B2CF9AE}" pid="13" name="Objective-State">
    <vt:lpwstr>Published</vt:lpwstr>
  </property>
  <property fmtid="{D5CDD505-2E9C-101B-9397-08002B2CF9AE}" pid="14" name="Objective-Version">
    <vt:lpwstr>2.0</vt:lpwstr>
  </property>
  <property fmtid="{D5CDD505-2E9C-101B-9397-08002B2CF9AE}" pid="15" name="Objective-VersionNumber">
    <vt:r8>10</vt:r8>
  </property>
  <property fmtid="{D5CDD505-2E9C-101B-9397-08002B2CF9AE}" pid="16" name="Objective-VersionComment">
    <vt:lpwstr/>
  </property>
  <property fmtid="{D5CDD505-2E9C-101B-9397-08002B2CF9AE}" pid="17" name="Objective-FileNumber">
    <vt:lpwstr/>
  </property>
  <property fmtid="{D5CDD505-2E9C-101B-9397-08002B2CF9AE}" pid="18" name="Objective-Classification">
    <vt:lpwstr>[Inherited - Official]</vt:lpwstr>
  </property>
  <property fmtid="{D5CDD505-2E9C-101B-9397-08002B2CF9AE}" pid="19" name="Objective-Caveats">
    <vt:lpwstr/>
  </property>
  <property fmtid="{D5CDD505-2E9C-101B-9397-08002B2CF9AE}" pid="20" name="Objective-Language [system]">
    <vt:lpwstr>English (eng)</vt:lpwstr>
  </property>
  <property fmtid="{D5CDD505-2E9C-101B-9397-08002B2CF9AE}" pid="21" name="Objective-Date Acquired [system]">
    <vt:filetime>2019-01-30T00:00:00Z</vt:filetime>
  </property>
  <property fmtid="{D5CDD505-2E9C-101B-9397-08002B2CF9AE}" pid="22" name="Objective-What to Keep [system]">
    <vt:lpwstr>No</vt:lpwstr>
  </property>
  <property fmtid="{D5CDD505-2E9C-101B-9397-08002B2CF9AE}" pid="23" name="Objective-Official Translation [system]">
    <vt:lpwstr/>
  </property>
  <property fmtid="{D5CDD505-2E9C-101B-9397-08002B2CF9AE}" pid="24" name="Objective-Connect Creator [system]">
    <vt:lpwstr/>
  </property>
  <property fmtid="{D5CDD505-2E9C-101B-9397-08002B2CF9AE}" pid="25" name="Objective-Description">
    <vt:lpwstr/>
  </property>
  <property fmtid="{D5CDD505-2E9C-101B-9397-08002B2CF9AE}" pid="26" name="Objective-VersionId">
    <vt:lpwstr>vA94000457</vt:lpwstr>
  </property>
  <property fmtid="{D5CDD505-2E9C-101B-9397-08002B2CF9AE}" pid="27" name="Objective-Language">
    <vt:lpwstr>English (eng)</vt:lpwstr>
  </property>
  <property fmtid="{D5CDD505-2E9C-101B-9397-08002B2CF9AE}" pid="28" name="Objective-Date Acquired">
    <vt:filetime>2023-01-18T00:00:00Z</vt:filetime>
  </property>
  <property fmtid="{D5CDD505-2E9C-101B-9397-08002B2CF9AE}" pid="29" name="Objective-What to Keep">
    <vt:lpwstr>No</vt:lpwstr>
  </property>
  <property fmtid="{D5CDD505-2E9C-101B-9397-08002B2CF9AE}" pid="30" name="Objective-Official Translation">
    <vt:lpwstr/>
  </property>
  <property fmtid="{D5CDD505-2E9C-101B-9397-08002B2CF9AE}" pid="31" name="Objective-Connect Creator">
    <vt:lpwstr/>
  </property>
  <property fmtid="{D5CDD505-2E9C-101B-9397-08002B2CF9AE}" pid="32" name="Protective Marking Classification">
    <vt:lpwstr>OFFICIAL - NO MARKING SWYDDOGOL-DIM ANGEN MARC</vt:lpwstr>
  </property>
  <property fmtid="{D5CDD505-2E9C-101B-9397-08002B2CF9AE}" pid="33" name="Additional Descriptor">
    <vt:lpwstr/>
  </property>
  <property fmtid="{D5CDD505-2E9C-101B-9397-08002B2CF9AE}" pid="34" name="Impact Level">
    <vt:i4>0</vt:i4>
  </property>
</Properties>
</file>